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en/Downloads/"/>
    </mc:Choice>
  </mc:AlternateContent>
  <xr:revisionPtr revIDLastSave="0" documentId="13_ncr:1_{5342BA80-82A7-2641-955E-DEE5CD05CC65}" xr6:coauthVersionLast="47" xr6:coauthVersionMax="47" xr10:uidLastSave="{00000000-0000-0000-0000-000000000000}"/>
  <bookViews>
    <workbookView xWindow="0" yWindow="500" windowWidth="28800" windowHeight="16540" activeTab="4" xr2:uid="{C0589A14-F1EB-4364-BF95-91D6B033D3CB}"/>
  </bookViews>
  <sheets>
    <sheet name="Question 1C" sheetId="3" r:id="rId1"/>
    <sheet name="Question 2C" sheetId="4" r:id="rId2"/>
    <sheet name="Question 3" sheetId="5" r:id="rId3"/>
    <sheet name="Question 4" sheetId="19" r:id="rId4"/>
    <sheet name="Simulation" sheetId="20" r:id="rId5"/>
  </sheets>
  <externalReferences>
    <externalReference r:id="rId6"/>
  </externalReferences>
  <definedNames>
    <definedName name="__123Graph_A" hidden="1">#REF!</definedName>
    <definedName name="__123Graph_AFNTPOP" hidden="1">#REF!</definedName>
    <definedName name="__123Graph_AFNTQUE" hidden="1">#REF!</definedName>
    <definedName name="__123Graph_AMMS" hidden="1">#REF!</definedName>
    <definedName name="__123Graph_X" hidden="1">#REF!</definedName>
    <definedName name="__123Graph_XFNTPOP" hidden="1">#REF!</definedName>
    <definedName name="__123Graph_XFNTQUE" hidden="1">#REF!</definedName>
    <definedName name="__123Graph_XMMS" hidden="1">#REF!</definedName>
    <definedName name="ActualForecast" localSheetId="4">#REF!</definedName>
    <definedName name="ActualForecast">#REF!</definedName>
    <definedName name="ActualSales">Simulation!$B$11:$N$11</definedName>
    <definedName name="AFinish">#REF!</definedName>
    <definedName name="Alpha" localSheetId="4">#REF!</definedName>
    <definedName name="Alpha">#REF!</definedName>
    <definedName name="anscount" hidden="1">1</definedName>
    <definedName name="AStart">#REF!</definedName>
    <definedName name="Available" localSheetId="4">#REF!</definedName>
    <definedName name="Available">#REF!</definedName>
    <definedName name="BalanceBeforeLoan">Simulation!$C$34:$N$34</definedName>
    <definedName name="BaseSales">Simulation!$B$10:$N$10</definedName>
    <definedName name="BeginningBalance">Simulation!$C$25:$N$25</definedName>
    <definedName name="beta" localSheetId="4">#REF!</definedName>
    <definedName name="beta">#REF!</definedName>
    <definedName name="BFinish">#REF!</definedName>
    <definedName name="BillOfMaterials" localSheetId="4">#REF!</definedName>
    <definedName name="BillOfMaterials">#REF!</definedName>
    <definedName name="BondFlow" localSheetId="4">#REF!</definedName>
    <definedName name="BondFlow">#REF!</definedName>
    <definedName name="BStart">#REF!</definedName>
    <definedName name="Capable" localSheetId="1">'Question 2C'!$I$14</definedName>
    <definedName name="Capacity" localSheetId="1">'Question 2C'!$F$3:$F$17</definedName>
    <definedName name="CashReceipts">Simulation!$C$26:$N$26</definedName>
    <definedName name="CBx_Sheet_Guid" localSheetId="4" hidden="1">"'330dea16-d951-4fc5-aeab-e260411c5292"</definedName>
    <definedName name="CBx_StorageType" localSheetId="4" hidden="1">1</definedName>
    <definedName name="CFinish">#REF!</definedName>
    <definedName name="Cost" localSheetId="0">'Question 1C'!$E$3:$E$22</definedName>
    <definedName name="CostOfService">#REF!</definedName>
    <definedName name="CostOfWaiting">#REF!</definedName>
    <definedName name="CreditReceipts">Simulation!$C$27:$N$27</definedName>
    <definedName name="Cs">#REF!</definedName>
    <definedName name="CStart">#REF!</definedName>
    <definedName name="Cw">#REF!</definedName>
    <definedName name="DFinish">#REF!</definedName>
    <definedName name="Distance" localSheetId="2">'Question 3'!$F$2:$F$19</definedName>
    <definedName name="DStart">#REF!</definedName>
    <definedName name="EFinish">#REF!</definedName>
    <definedName name="EndingBalance">Simulation!$C$36:$N$36</definedName>
    <definedName name="EndingNetWorth" localSheetId="4">Simulation!#REF!</definedName>
    <definedName name="EndingNetWorth">#REF!</definedName>
    <definedName name="EStart">#REF!</definedName>
    <definedName name="EstimatedTrend" localSheetId="4">#REF!</definedName>
    <definedName name="EstimatedTrend">#REF!</definedName>
    <definedName name="FFinish">#REF!</definedName>
    <definedName name="FixedCost">Simulation!$C$28:$N$28</definedName>
    <definedName name="Forecast" localSheetId="4">#REF!</definedName>
    <definedName name="Forecast">#REF!</definedName>
    <definedName name="ForecastingError" localSheetId="4">#REF!</definedName>
    <definedName name="ForecastingError">#REF!</definedName>
    <definedName name="FractionCashCustomers">Simulation!$B$12:$N$12</definedName>
    <definedName name="From" localSheetId="0">'Question 1C'!$B$3:$B$22</definedName>
    <definedName name="From" localSheetId="1">'Question 2C'!$B$3:$B$17</definedName>
    <definedName name="From" localSheetId="2">'Question 3'!$B$2:$B$19</definedName>
    <definedName name="FStart">#REF!</definedName>
    <definedName name="GFinish">#REF!</definedName>
    <definedName name="GStart">#REF!</definedName>
    <definedName name="HFinish">#REF!</definedName>
    <definedName name="HStart">#REF!</definedName>
    <definedName name="IFinish">#REF!</definedName>
    <definedName name="InitialEstimate" localSheetId="4">#REF!</definedName>
    <definedName name="InitialEstimate">#REF!</definedName>
    <definedName name="InitialEstimateAverage" localSheetId="4">#REF!</definedName>
    <definedName name="InitialEstimateAverage">#REF!</definedName>
    <definedName name="InitialEstimateTrend" localSheetId="4">#REF!</definedName>
    <definedName name="InitialEstimateTrend">#REF!</definedName>
    <definedName name="InitialInvestment" localSheetId="4">#REF!</definedName>
    <definedName name="InitialInvestment">#REF!</definedName>
    <definedName name="InitialPrimeRate" localSheetId="4">#REF!</definedName>
    <definedName name="InitialPrimeRate">#REF!</definedName>
    <definedName name="InitialTrend" localSheetId="4">#REF!</definedName>
    <definedName name="InitialTrend">#REF!</definedName>
    <definedName name="input" localSheetId="4">{"300";"0.7";"960";"0.6";"1000"}</definedName>
    <definedName name="input">{"300";"0.7";"960";"0.6";"1000"}</definedName>
    <definedName name="IStart">#REF!</definedName>
    <definedName name="L" localSheetId="3">'Question 4'!$H$4</definedName>
    <definedName name="L">#REF!</definedName>
    <definedName name="Lambda" localSheetId="3">'Question 4'!$C$4</definedName>
    <definedName name="Lambda">#REF!</definedName>
    <definedName name="LatestTrend" localSheetId="4">#REF!</definedName>
    <definedName name="LatestTrend">#REF!</definedName>
    <definedName name="limcount" hidden="1">1</definedName>
    <definedName name="LoanInterest">Simulation!$C$32:$N$32</definedName>
    <definedName name="LoanPayoff">Simulation!$C$31:$N$31</definedName>
    <definedName name="LoanRate">Simulation!$B$17:$N$17</definedName>
    <definedName name="LoanRateGap" localSheetId="4">[1]Simulation!$G$3</definedName>
    <definedName name="LoanRateGap">#REF!</definedName>
    <definedName name="LoanRateMax" localSheetId="4">[1]Simulation!$G$4</definedName>
    <definedName name="LoanRateMax">#REF!</definedName>
    <definedName name="Lq" localSheetId="3">'Question 4'!$H$5</definedName>
    <definedName name="Lq">#REF!</definedName>
    <definedName name="MAD" localSheetId="4">#REF!</definedName>
    <definedName name="MAD">#REF!</definedName>
    <definedName name="MaximumFlow" localSheetId="1">'Question 2C'!$I$13</definedName>
    <definedName name="MaximumLoan" localSheetId="4">Simulation!#REF!</definedName>
    <definedName name="MaximumLoan">#REF!</definedName>
    <definedName name="MinimizeCosts">FALSE</definedName>
    <definedName name="MinimumBalance" localSheetId="3">#REF!</definedName>
    <definedName name="MinimumBalance" localSheetId="4">[1]Simulation!$B$5</definedName>
    <definedName name="MinimumBalance">#REF!</definedName>
    <definedName name="MinimumRequiredBalance" localSheetId="4">#REF!</definedName>
    <definedName name="MinimumRequiredBalance">#REF!</definedName>
    <definedName name="MoneyMarketBalance" localSheetId="4">#REF!</definedName>
    <definedName name="MoneyMarketBalance">#REF!</definedName>
    <definedName name="MoneyMarketInterest" localSheetId="4">#REF!</definedName>
    <definedName name="MoneyMarketInterest">#REF!</definedName>
    <definedName name="MoneyMarketRate" localSheetId="4">#REF!</definedName>
    <definedName name="MoneyMarketRate">#REF!</definedName>
    <definedName name="MonthlyFixedCost" localSheetId="4">[1]Simulation!$B$4</definedName>
    <definedName name="MonthlyFixedCost">#REF!</definedName>
    <definedName name="MSE" localSheetId="4">#REF!</definedName>
    <definedName name="MSE">#REF!</definedName>
    <definedName name="Mu" localSheetId="3">'Question 4'!$C$5</definedName>
    <definedName name="Mu">#REF!</definedName>
    <definedName name="n" localSheetId="3">'Question 4'!$G$13:$G$38</definedName>
    <definedName name="n">#REF!</definedName>
    <definedName name="NetFlow" localSheetId="0">'Question 1C'!$I$3:$I$9</definedName>
    <definedName name="NetFlow" localSheetId="1">'Question 2C'!$J$2:$J$9</definedName>
    <definedName name="NetFlow" localSheetId="2">'Question 3'!$J$2:$J$12</definedName>
    <definedName name="NewLoan">Simulation!$C$35:$N$35</definedName>
    <definedName name="Nodes" localSheetId="0">'Question 1C'!$H$3:$H$9</definedName>
    <definedName name="Nodes" localSheetId="1">'Question 2C'!$I$2:$I$9</definedName>
    <definedName name="Nodes" localSheetId="2">'Question 3'!$I$2:$I$12</definedName>
    <definedName name="NumberOfPeriods" localSheetId="4">#REF!</definedName>
    <definedName name="NumberOfPeriods">#REF!</definedName>
    <definedName name="OnRoute" localSheetId="2">'Question 3'!$D$2:$D$19</definedName>
    <definedName name="P0" localSheetId="3">'Question 4'!$H$13</definedName>
    <definedName name="P0">#REF!</definedName>
    <definedName name="PensionFlow" localSheetId="4">#REF!</definedName>
    <definedName name="PensionFlow">#REF!</definedName>
    <definedName name="perc" localSheetId="4">{"0.75","0.8","0.85","0.9","0.95","1","1.05","1.1","1.15","1.2","1.25"}</definedName>
    <definedName name="perc">{"0.75","0.8","0.85","0.9","0.95","1","1.05","1.1","1.15","1.2","1.25"}</definedName>
    <definedName name="Pn" localSheetId="3">'Question 4'!$H$13:$H$38</definedName>
    <definedName name="PrimeRate">Simulation!$B$16:$N$16</definedName>
    <definedName name="PrimeRateChange">Simulation!$C$15:$N$15</definedName>
    <definedName name="ProductionQuantity" localSheetId="4">#REF!</definedName>
    <definedName name="ProductionQuantity">#REF!</definedName>
    <definedName name="Profit" localSheetId="4">#REF!</definedName>
    <definedName name="Profit">#REF!</definedName>
    <definedName name="RepairCost">Simulation!$C$30:$N$30</definedName>
    <definedName name="ReplacementPartCost">Simulation!$B$3</definedName>
    <definedName name="ReplacementPartsNeeded">Simulation!$C$21:$N$21</definedName>
    <definedName name="Rho" localSheetId="3">'Question 4'!$H$10</definedName>
    <definedName name="Rho">#REF!</definedName>
    <definedName name="RT" localSheetId="4">#REF!</definedName>
    <definedName name="RT">#REF!</definedName>
    <definedName name="s" localSheetId="3">'Question 4'!$C$6</definedName>
    <definedName name="s">#REF!</definedName>
    <definedName name="SavingsInterest">Simulation!$C$33:$N$33</definedName>
    <definedName name="SavingsRate">Simulation!$B$18:$N$18</definedName>
    <definedName name="SavingsRateGap" localSheetId="4">[1]Simulation!$G$5</definedName>
    <definedName name="SavingsRateGap">#REF!</definedName>
    <definedName name="SavingsRateMin" localSheetId="4">[1]Simulation!$G$6</definedName>
    <definedName name="SavingsRateMin">#REF!</definedName>
    <definedName name="SeasonalFactor" localSheetId="4">#REF!</definedName>
    <definedName name="SeasonalFactor">#REF!</definedName>
    <definedName name="SeasonalityIndex">Simulation!$B$9:$N$9</definedName>
    <definedName name="SeasonallyAdjustedForecast" localSheetId="4">#REF!</definedName>
    <definedName name="SeasonallyAdjustedForecast">#REF!</definedName>
    <definedName name="SeasonallyAdjustedValue" localSheetId="4">#REF!</definedName>
    <definedName name="SeasonallyAdjustedValue">#REF!</definedName>
    <definedName name="SellingPrice" localSheetId="4">[1]Simulation!$B$2</definedName>
    <definedName name="SellingPrice">#REF!</definedName>
    <definedName name="sencount" localSheetId="3" hidden="1">4</definedName>
    <definedName name="sencount" hidden="1">4</definedName>
    <definedName name="sencount2" hidden="1">3</definedName>
    <definedName name="Ship" localSheetId="0">'Question 1C'!$D$3:$D$22</definedName>
    <definedName name="Ship" localSheetId="1">'Question 2C'!$D$3:$D$17</definedName>
    <definedName name="ShortestTime" localSheetId="2">'Question 3'!$I$16</definedName>
    <definedName name="solver_adj" localSheetId="0" hidden="1">'Question 1C'!$D$3:$D$22</definedName>
    <definedName name="solver_adj" localSheetId="1" hidden="1">'Question 2C'!$D$3:$D$17</definedName>
    <definedName name="solver_adj" localSheetId="2" hidden="1">'Question 3'!$D$2:$D$19</definedName>
    <definedName name="solver_adj" localSheetId="3" hidden="1">'Question 4'!$C$6</definedName>
    <definedName name="solver_corr" hidden="1">1</definedName>
    <definedName name="solver_ctp1" hidden="1">0</definedName>
    <definedName name="solver_ctp2" hidden="1">0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disp" hidden="1">0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1</definedName>
    <definedName name="solver_eng" localSheetId="4" hidden="1">1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val" hidden="1">0</definedName>
    <definedName name="solver_itr" localSheetId="0" hidden="1">2147483647</definedName>
    <definedName name="solver_itr" localSheetId="1" hidden="1">2147483647</definedName>
    <definedName name="solver_itr" localSheetId="2" hidden="1">2147483647</definedName>
    <definedName name="solver_itr" localSheetId="3" hidden="1">2147483647</definedName>
    <definedName name="solver_lcens" hidden="1">-1E+30</definedName>
    <definedName name="solver_lcut" hidden="1">-1E+30</definedName>
    <definedName name="solver_lhs1" localSheetId="0" hidden="1">'Question 1C'!$I$3:$I$9</definedName>
    <definedName name="solver_lhs1" localSheetId="1" hidden="1">'Question 2C'!$J$3:$J$8</definedName>
    <definedName name="solver_lhs1" localSheetId="2" hidden="1">'Question 3'!$J$2:$J$12</definedName>
    <definedName name="solver_lhs2" localSheetId="0" hidden="1">'Question 1C'!$D$3:$D$22</definedName>
    <definedName name="solver_lhs2" localSheetId="1" hidden="1">'Question 2C'!$D$3:$D$17</definedName>
    <definedName name="solver_lhs2" localSheetId="2" hidden="1">'Question 3'!$D$2:$D$19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2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sim" hidden="1">1</definedName>
    <definedName name="solver_nso" localSheetId="0" hidden="1">10000</definedName>
    <definedName name="solver_nssim" hidden="1">-1</definedName>
    <definedName name="solver_ntri" hidden="1">1000</definedName>
    <definedName name="solver_num" localSheetId="0" hidden="1">2</definedName>
    <definedName name="solver_num" localSheetId="1" hidden="1">2</definedName>
    <definedName name="solver_num" localSheetId="2" hidden="1">2</definedName>
    <definedName name="solver_num" localSheetId="3" hidden="1">0</definedName>
    <definedName name="solver_num" localSheetId="4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opt" localSheetId="0" hidden="1">'Question 1C'!$H$15</definedName>
    <definedName name="solver_opt" localSheetId="1" hidden="1">'Question 2C'!$I$13</definedName>
    <definedName name="solver_opt" localSheetId="2" hidden="1">'Question 3'!$I$16</definedName>
    <definedName name="solver_opt" localSheetId="3" hidden="1">'Question 4'!$H$10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el1" localSheetId="0" hidden="1">2</definedName>
    <definedName name="solver_rel1" localSheetId="1" hidden="1">2</definedName>
    <definedName name="solver_rel1" localSheetId="2" hidden="1">2</definedName>
    <definedName name="solver_rel2" localSheetId="0" hidden="1">1</definedName>
    <definedName name="solver_rel2" localSheetId="1" hidden="1">1</definedName>
    <definedName name="solver_rel2" localSheetId="2" hidden="1">1</definedName>
    <definedName name="solver_rgen" hidden="1">1</definedName>
    <definedName name="solver_rhs1" localSheetId="0" hidden="1">'Question 1C'!$K$3:$K$9</definedName>
    <definedName name="solver_rhs1" localSheetId="1" hidden="1">'Question 2C'!$L$3:$L$8</definedName>
    <definedName name="solver_rhs1" localSheetId="2" hidden="1">'Question 3'!$L$2:$L$12</definedName>
    <definedName name="solver_rhs2" localSheetId="0" hidden="1">'Question 1C'!$E$3:$E$22</definedName>
    <definedName name="solver_rhs2" localSheetId="1" hidden="1">'Question 2C'!$F$3:$F$17</definedName>
    <definedName name="solver_rhs2" localSheetId="2" hidden="1">'Question 3'!$F$2:$F$19</definedName>
    <definedName name="solver_rlx" localSheetId="0" hidden="1">1</definedName>
    <definedName name="solver_rlx" localSheetId="1" hidden="1">1</definedName>
    <definedName name="solver_rlx" localSheetId="2" hidden="1">2</definedName>
    <definedName name="solver_rlx" localSheetId="3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mp" hidden="1">2</definedName>
    <definedName name="solver_scl" localSheetId="0" hidden="1">2</definedName>
    <definedName name="solver_scl" localSheetId="1" hidden="1">2</definedName>
    <definedName name="solver_scl" localSheetId="2" hidden="1">1</definedName>
    <definedName name="solver_scl" localSheetId="3" hidden="1">1</definedName>
    <definedName name="solver_seed" hidden="1">0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trm" hidden="1">0</definedName>
    <definedName name="solver_tim" localSheetId="0" hidden="1">2147483647</definedName>
    <definedName name="solver_tim" localSheetId="1" hidden="1">2147483647</definedName>
    <definedName name="solver_tim" localSheetId="2" hidden="1">2147483647</definedName>
    <definedName name="solver_tim" localSheetId="3" hidden="1">2147483647</definedName>
    <definedName name="solver_tol" localSheetId="0" hidden="1">0.01</definedName>
    <definedName name="solver_tol" localSheetId="1" hidden="1">0.01</definedName>
    <definedName name="solver_tol" localSheetId="2" hidden="1">0.01</definedName>
    <definedName name="solver_tol" localSheetId="3" hidden="1">0.01</definedName>
    <definedName name="solver_typ" localSheetId="0" hidden="1">2</definedName>
    <definedName name="solver_typ" localSheetId="1" hidden="1">1</definedName>
    <definedName name="solver_typ" localSheetId="2" hidden="1">2</definedName>
    <definedName name="solver_typ" localSheetId="3" hidden="1">1</definedName>
    <definedName name="solver_typ" localSheetId="4" hidden="1">2</definedName>
    <definedName name="solver_ucens" hidden="1">1E+30</definedName>
    <definedName name="solver_ucut" hidden="1">1E+30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er" localSheetId="0" hidden="1">2</definedName>
    <definedName name="solver_ver" localSheetId="1" hidden="1">2</definedName>
    <definedName name="solver_ver" localSheetId="2" hidden="1">2</definedName>
    <definedName name="solver_ver" localSheetId="3" hidden="1">2</definedName>
    <definedName name="solver_ver" localSheetId="4" hidden="1">3</definedName>
    <definedName name="solveri_ISpPars_C10" localSheetId="4" hidden="1">"RiskSolver.UI.Charts.InputDlgPars:-1000001;1;1;13;23;49;51;0;90;90;0;0;0;0;1;"</definedName>
    <definedName name="solveri_ISpPars_C12" localSheetId="4" hidden="1">"RiskSolver.UI.Charts.InputDlgPars:-1000001;1;1;10;22;49;51;0;90;90;0;0;0;0;1;"</definedName>
    <definedName name="solveri_ISpPars_C15" localSheetId="4" hidden="1">"RiskSolver.UI.Charts.InputDlgPars:-1000001;1;1;6;21;49;51;0;90;90;0;0;0;0;1;"</definedName>
    <definedName name="solveri_ISpPars_C21" localSheetId="4" hidden="1">"RiskSolver.UI.Charts.InputDlgPars:-1000001;1;1;9;20;49;51;0;90;90;0;0;0;0;1;"</definedName>
    <definedName name="solveri_ISpPars_C23" localSheetId="4" hidden="1">"RiskSolver.UI.Charts.InputDlgPars:-1000001;1;1;12;22;49;51;0;90;90;0;0;0;0;1;"</definedName>
    <definedName name="StartingBalance" localSheetId="4">#REF!</definedName>
    <definedName name="StartingBalance">#REF!</definedName>
    <definedName name="SupplyDemand" localSheetId="0">'Question 1C'!$K$3:$K$9</definedName>
    <definedName name="SupplyDemand" localSheetId="1">'Question 2C'!$L$2:$L$9</definedName>
    <definedName name="SupplyDemand" localSheetId="2">'Question 3'!$L$2:$L$12</definedName>
    <definedName name="Time1">#REF!</definedName>
    <definedName name="Time2">#REF!</definedName>
    <definedName name="To" localSheetId="0">'Question 1C'!$C$3:$C$22</definedName>
    <definedName name="To" localSheetId="1">'Question 2C'!$C$3:$C$17</definedName>
    <definedName name="To" localSheetId="2">'Question 3'!$C$2:$C$19</definedName>
    <definedName name="TotalCost" localSheetId="0">'Question 1C'!$H$15</definedName>
    <definedName name="TotalProfit" localSheetId="4">#REF!</definedName>
    <definedName name="TotalProfit">#REF!</definedName>
    <definedName name="TotalUsed" localSheetId="4">#REF!</definedName>
    <definedName name="TotalUsed">#REF!</definedName>
    <definedName name="TotalVariableCost">Simulation!$C$29:$N$29</definedName>
    <definedName name="TreeData" localSheetId="4">#REF!</definedName>
    <definedName name="TreeData">#REF!</definedName>
    <definedName name="TreeDiagBase" localSheetId="4">#REF!</definedName>
    <definedName name="TreeDiagBase">#REF!</definedName>
    <definedName name="TreeDiagram" localSheetId="4">#REF!</definedName>
    <definedName name="TreeDiagram">#REF!</definedName>
    <definedName name="treeList" hidden="1">"11110000000000000000000000000000000000000000000000000000000000000000000000000000000000000000000000000000000000000000000000000000000000000000000000000000000000000000000000000000000000000000000000000000"</definedName>
    <definedName name="TrueValue" localSheetId="4">#REF!</definedName>
    <definedName name="TrueValue">#REF!</definedName>
    <definedName name="TypeOfSeasonality" localSheetId="4">#REF!</definedName>
    <definedName name="TypeOfSeasonality">#REF!</definedName>
    <definedName name="units" localSheetId="4">#REF!</definedName>
    <definedName name="units">#REF!</definedName>
    <definedName name="UnitsPurchased" localSheetId="4">#REF!</definedName>
    <definedName name="UnitsPurchased">#REF!</definedName>
    <definedName name="UseExpUtility">FALSE</definedName>
    <definedName name="VariableCost">Simulation!$C$22:$N$22</definedName>
    <definedName name="W" localSheetId="3">'Question 4'!$H$7</definedName>
    <definedName name="W">#REF!</definedName>
    <definedName name="Wq" localSheetId="3">'Question 4'!$H$8</definedName>
    <definedName name="W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1" i="20" l="1"/>
  <c r="D28" i="20" l="1"/>
  <c r="E28" i="20"/>
  <c r="F28" i="20"/>
  <c r="G28" i="20"/>
  <c r="H28" i="20"/>
  <c r="I28" i="20"/>
  <c r="J28" i="20"/>
  <c r="K28" i="20"/>
  <c r="L28" i="20"/>
  <c r="M28" i="20"/>
  <c r="N28" i="20"/>
  <c r="D22" i="20"/>
  <c r="E22" i="20"/>
  <c r="F22" i="20"/>
  <c r="G22" i="20"/>
  <c r="H22" i="20"/>
  <c r="I22" i="20"/>
  <c r="J22" i="20"/>
  <c r="K22" i="20"/>
  <c r="L22" i="20"/>
  <c r="M22" i="20"/>
  <c r="N22" i="20"/>
  <c r="C22" i="20"/>
  <c r="C28" i="20"/>
  <c r="C27" i="20"/>
  <c r="D21" i="20" l="1"/>
  <c r="D30" i="20" s="1"/>
  <c r="E21" i="20"/>
  <c r="E30" i="20" s="1"/>
  <c r="F21" i="20"/>
  <c r="F30" i="20" s="1"/>
  <c r="G21" i="20"/>
  <c r="G30" i="20" s="1"/>
  <c r="H21" i="20"/>
  <c r="H30" i="20" s="1"/>
  <c r="I21" i="20"/>
  <c r="I30" i="20" s="1"/>
  <c r="J21" i="20"/>
  <c r="J30" i="20" s="1"/>
  <c r="K21" i="20"/>
  <c r="K30" i="20" s="1"/>
  <c r="L21" i="20"/>
  <c r="L30" i="20" s="1"/>
  <c r="M21" i="20"/>
  <c r="M30" i="20" s="1"/>
  <c r="N21" i="20"/>
  <c r="N30" i="20" s="1"/>
  <c r="C21" i="20"/>
  <c r="B18" i="20"/>
  <c r="B17" i="20"/>
  <c r="D15" i="20"/>
  <c r="E15" i="20"/>
  <c r="F15" i="20"/>
  <c r="G15" i="20"/>
  <c r="H15" i="20"/>
  <c r="I15" i="20"/>
  <c r="J15" i="20"/>
  <c r="K15" i="20"/>
  <c r="L15" i="20"/>
  <c r="M15" i="20"/>
  <c r="N15" i="20"/>
  <c r="P19" i="20"/>
  <c r="O19" i="20"/>
  <c r="P18" i="20"/>
  <c r="O18" i="20"/>
  <c r="P17" i="20"/>
  <c r="O17" i="20"/>
  <c r="P16" i="20"/>
  <c r="O16" i="20"/>
  <c r="P15" i="20"/>
  <c r="N12" i="20" l="1"/>
  <c r="M12" i="20"/>
  <c r="L12" i="20"/>
  <c r="K12" i="20"/>
  <c r="J12" i="20"/>
  <c r="I12" i="20"/>
  <c r="H12" i="20"/>
  <c r="G12" i="20"/>
  <c r="F12" i="20"/>
  <c r="E12" i="20"/>
  <c r="D12" i="20"/>
  <c r="C12" i="20"/>
  <c r="C10" i="20"/>
  <c r="C28" i="19"/>
  <c r="C27" i="19"/>
  <c r="C26" i="19"/>
  <c r="C25" i="19"/>
  <c r="D10" i="20" l="1"/>
  <c r="D11" i="20" l="1"/>
  <c r="D29" i="20" s="1"/>
  <c r="E10" i="20"/>
  <c r="D26" i="20" l="1"/>
  <c r="E27" i="20"/>
  <c r="E11" i="20"/>
  <c r="E29" i="20" s="1"/>
  <c r="F10" i="20"/>
  <c r="E26" i="20" l="1"/>
  <c r="F27" i="20"/>
  <c r="F11" i="20"/>
  <c r="F29" i="20" s="1"/>
  <c r="G10" i="20"/>
  <c r="F26" i="20" l="1"/>
  <c r="G27" i="20"/>
  <c r="G11" i="20"/>
  <c r="G29" i="20" s="1"/>
  <c r="H10" i="20"/>
  <c r="I16" i="5"/>
  <c r="J3" i="5"/>
  <c r="J4" i="5"/>
  <c r="J5" i="5"/>
  <c r="J6" i="5"/>
  <c r="J7" i="5"/>
  <c r="J8" i="5"/>
  <c r="J9" i="5"/>
  <c r="J10" i="5"/>
  <c r="J11" i="5"/>
  <c r="J12" i="5"/>
  <c r="J2" i="5"/>
  <c r="J3" i="4"/>
  <c r="J4" i="4"/>
  <c r="J5" i="4"/>
  <c r="J6" i="4"/>
  <c r="J7" i="4"/>
  <c r="J8" i="4"/>
  <c r="J9" i="4"/>
  <c r="J2" i="4"/>
  <c r="I13" i="4" s="1"/>
  <c r="H15" i="3"/>
  <c r="I4" i="3"/>
  <c r="I5" i="3"/>
  <c r="I6" i="3"/>
  <c r="I7" i="3"/>
  <c r="I8" i="3"/>
  <c r="I9" i="3"/>
  <c r="I3" i="3"/>
  <c r="C25" i="20"/>
  <c r="C33" i="20"/>
  <c r="C31" i="20"/>
  <c r="C30" i="20"/>
  <c r="C32" i="20"/>
  <c r="C15" i="20"/>
  <c r="B11" i="20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H10" i="19"/>
  <c r="F10" i="19"/>
  <c r="F9" i="19"/>
  <c r="F8" i="19"/>
  <c r="F7" i="19"/>
  <c r="F6" i="19"/>
  <c r="F5" i="19"/>
  <c r="F4" i="19"/>
  <c r="G26" i="20" l="1"/>
  <c r="H27" i="20"/>
  <c r="H11" i="20"/>
  <c r="H29" i="20" s="1"/>
  <c r="I10" i="20"/>
  <c r="C11" i="20"/>
  <c r="H13" i="19"/>
  <c r="C8" i="19" s="1"/>
  <c r="C16" i="20"/>
  <c r="C18" i="20" s="1"/>
  <c r="H17" i="19"/>
  <c r="H23" i="19"/>
  <c r="H29" i="19"/>
  <c r="H5" i="19"/>
  <c r="H4" i="19" s="1"/>
  <c r="H7" i="19" s="1"/>
  <c r="H18" i="19"/>
  <c r="H24" i="19"/>
  <c r="H31" i="19"/>
  <c r="H34" i="19"/>
  <c r="H14" i="19"/>
  <c r="H20" i="19"/>
  <c r="H26" i="19"/>
  <c r="H35" i="19"/>
  <c r="H36" i="19"/>
  <c r="H19" i="19"/>
  <c r="H33" i="19"/>
  <c r="H15" i="19"/>
  <c r="H21" i="19"/>
  <c r="H27" i="19"/>
  <c r="H37" i="19"/>
  <c r="C26" i="20" l="1"/>
  <c r="D27" i="20"/>
  <c r="H26" i="20"/>
  <c r="I27" i="20"/>
  <c r="C29" i="20"/>
  <c r="C17" i="20"/>
  <c r="D16" i="20"/>
  <c r="D18" i="20" s="1"/>
  <c r="J10" i="20"/>
  <c r="I11" i="20"/>
  <c r="I29" i="20" s="1"/>
  <c r="H16" i="19"/>
  <c r="H22" i="19"/>
  <c r="H30" i="19"/>
  <c r="H8" i="19"/>
  <c r="H28" i="19"/>
  <c r="H25" i="19"/>
  <c r="H32" i="19"/>
  <c r="H38" i="19"/>
  <c r="C34" i="20" l="1"/>
  <c r="C35" i="20" s="1"/>
  <c r="D32" i="20" s="1"/>
  <c r="I26" i="20"/>
  <c r="J27" i="20"/>
  <c r="E16" i="20"/>
  <c r="E18" i="20" s="1"/>
  <c r="D17" i="20"/>
  <c r="K10" i="20"/>
  <c r="J11" i="20"/>
  <c r="J29" i="20" s="1"/>
  <c r="C11" i="19"/>
  <c r="C36" i="20" l="1"/>
  <c r="D31" i="20"/>
  <c r="J26" i="20"/>
  <c r="K27" i="20"/>
  <c r="F16" i="20"/>
  <c r="F18" i="20" s="1"/>
  <c r="E17" i="20"/>
  <c r="K11" i="20"/>
  <c r="K29" i="20" s="1"/>
  <c r="L10" i="20"/>
  <c r="D25" i="20" l="1"/>
  <c r="D33" i="20"/>
  <c r="K26" i="20"/>
  <c r="L27" i="20"/>
  <c r="G16" i="20"/>
  <c r="G18" i="20" s="1"/>
  <c r="F17" i="20"/>
  <c r="L11" i="20"/>
  <c r="L29" i="20" s="1"/>
  <c r="M10" i="20"/>
  <c r="D34" i="20" l="1"/>
  <c r="L26" i="20"/>
  <c r="M27" i="20"/>
  <c r="H16" i="20"/>
  <c r="H18" i="20" s="1"/>
  <c r="G17" i="20"/>
  <c r="N10" i="20"/>
  <c r="N11" i="20" s="1"/>
  <c r="M11" i="20"/>
  <c r="M29" i="20" s="1"/>
  <c r="D35" i="20" l="1"/>
  <c r="D36" i="20" s="1"/>
  <c r="N26" i="20"/>
  <c r="N29" i="20"/>
  <c r="M26" i="20"/>
  <c r="N27" i="20"/>
  <c r="I16" i="20"/>
  <c r="I18" i="20" s="1"/>
  <c r="H17" i="20"/>
  <c r="E31" i="20" l="1"/>
  <c r="E32" i="20"/>
  <c r="E25" i="20"/>
  <c r="E33" i="20"/>
  <c r="J16" i="20"/>
  <c r="J18" i="20" s="1"/>
  <c r="I17" i="20"/>
  <c r="E34" i="20" l="1"/>
  <c r="E35" i="20" s="1"/>
  <c r="E36" i="20" s="1"/>
  <c r="K16" i="20"/>
  <c r="K18" i="20" s="1"/>
  <c r="J17" i="20"/>
  <c r="F25" i="20" l="1"/>
  <c r="F33" i="20"/>
  <c r="F31" i="20"/>
  <c r="F32" i="20"/>
  <c r="L16" i="20"/>
  <c r="L18" i="20" s="1"/>
  <c r="K17" i="20"/>
  <c r="F34" i="20" l="1"/>
  <c r="F35" i="20"/>
  <c r="F36" i="20" s="1"/>
  <c r="M16" i="20"/>
  <c r="M18" i="20" s="1"/>
  <c r="L17" i="20"/>
  <c r="G25" i="20" l="1"/>
  <c r="G33" i="20"/>
  <c r="G32" i="20"/>
  <c r="G31" i="20"/>
  <c r="N16" i="20"/>
  <c r="N18" i="20" s="1"/>
  <c r="M17" i="20"/>
  <c r="G34" i="20" l="1"/>
  <c r="N17" i="20"/>
  <c r="G35" i="20" l="1"/>
  <c r="G36" i="20" s="1"/>
  <c r="H25" i="20" l="1"/>
  <c r="H33" i="20"/>
  <c r="H31" i="20"/>
  <c r="H32" i="20"/>
  <c r="H34" i="20" l="1"/>
  <c r="H35" i="20" s="1"/>
  <c r="H36" i="20" s="1"/>
  <c r="I25" i="20" l="1"/>
  <c r="I33" i="20"/>
  <c r="I31" i="20"/>
  <c r="I32" i="20"/>
  <c r="I34" i="20" s="1"/>
  <c r="I35" i="20" l="1"/>
  <c r="I36" i="20" s="1"/>
  <c r="J25" i="20" l="1"/>
  <c r="J33" i="20"/>
  <c r="J31" i="20"/>
  <c r="J32" i="20"/>
  <c r="J34" i="20" s="1"/>
  <c r="J35" i="20" l="1"/>
  <c r="J36" i="20" s="1"/>
  <c r="K25" i="20" l="1"/>
  <c r="K33" i="20"/>
  <c r="K31" i="20"/>
  <c r="K32" i="20"/>
  <c r="K34" i="20" l="1"/>
  <c r="K35" i="20" s="1"/>
  <c r="K36" i="20" s="1"/>
  <c r="L25" i="20" l="1"/>
  <c r="L33" i="20"/>
  <c r="L31" i="20"/>
  <c r="L32" i="20"/>
  <c r="L34" i="20" l="1"/>
  <c r="L35" i="20" s="1"/>
  <c r="L36" i="20" s="1"/>
  <c r="M25" i="20" l="1"/>
  <c r="M33" i="20"/>
  <c r="M32" i="20"/>
  <c r="M31" i="20"/>
  <c r="M34" i="20" l="1"/>
  <c r="M35" i="20" l="1"/>
  <c r="M36" i="20" s="1"/>
  <c r="N25" i="20" l="1"/>
  <c r="N33" i="20"/>
  <c r="N31" i="20"/>
  <c r="N32" i="20"/>
  <c r="N34" i="20" l="1"/>
  <c r="N35" i="20" s="1"/>
  <c r="N36" i="20" s="1"/>
  <c r="C39" i="20" s="1"/>
  <c r="Q30" i="20" s="1"/>
  <c r="Q29" i="20" l="1"/>
  <c r="Q28" i="20"/>
  <c r="Q26" i="20"/>
  <c r="Q27" i="20"/>
</calcChain>
</file>

<file path=xl/sharedStrings.xml><?xml version="1.0" encoding="utf-8"?>
<sst xmlns="http://schemas.openxmlformats.org/spreadsheetml/2006/main" count="247" uniqueCount="123">
  <si>
    <t>&lt;=</t>
  </si>
  <si>
    <t>Total Cost</t>
  </si>
  <si>
    <t>=</t>
  </si>
  <si>
    <t>Supply/Demand</t>
  </si>
  <si>
    <t>Net Flow</t>
  </si>
  <si>
    <t>Nodes</t>
  </si>
  <si>
    <t>Cost</t>
  </si>
  <si>
    <t>Ship</t>
  </si>
  <si>
    <t>To</t>
  </si>
  <si>
    <t>From</t>
  </si>
  <si>
    <t>Maximum Flow</t>
  </si>
  <si>
    <t>Capacity</t>
  </si>
  <si>
    <t>On Route</t>
  </si>
  <si>
    <t xml:space="preserve">Distance </t>
  </si>
  <si>
    <t>Shortest Time</t>
  </si>
  <si>
    <t>hours</t>
  </si>
  <si>
    <t>Is it capable?</t>
  </si>
  <si>
    <t>Data</t>
  </si>
  <si>
    <t>Results</t>
  </si>
  <si>
    <t>l =</t>
  </si>
  <si>
    <t>(mean arrival rate)</t>
  </si>
  <si>
    <t>L =</t>
  </si>
  <si>
    <t>m =</t>
  </si>
  <si>
    <t>(mean service rate)</t>
  </si>
  <si>
    <r>
      <t>L</t>
    </r>
    <r>
      <rPr>
        <vertAlign val="subscript"/>
        <sz val="10"/>
        <rFont val="Arial"/>
        <family val="2"/>
      </rPr>
      <t>q</t>
    </r>
    <r>
      <rPr>
        <sz val="10"/>
        <rFont val="Arial"/>
        <family val="2"/>
      </rPr>
      <t xml:space="preserve"> =</t>
    </r>
  </si>
  <si>
    <t>s =</t>
  </si>
  <si>
    <t>(# servers)</t>
  </si>
  <si>
    <t>W =</t>
  </si>
  <si>
    <t>Pr(W &gt; t) =</t>
  </si>
  <si>
    <r>
      <t>W</t>
    </r>
    <r>
      <rPr>
        <vertAlign val="subscript"/>
        <sz val="10"/>
        <rFont val="Arial"/>
        <family val="2"/>
      </rPr>
      <t>q</t>
    </r>
    <r>
      <rPr>
        <sz val="10"/>
        <rFont val="Arial"/>
        <family val="2"/>
      </rPr>
      <t xml:space="preserve"> =</t>
    </r>
  </si>
  <si>
    <t>when t =</t>
  </si>
  <si>
    <t>r =</t>
  </si>
  <si>
    <r>
      <t>Prob(W</t>
    </r>
    <r>
      <rPr>
        <vertAlign val="subscript"/>
        <sz val="10"/>
        <rFont val="Arial"/>
        <family val="2"/>
      </rPr>
      <t xml:space="preserve">q </t>
    </r>
    <r>
      <rPr>
        <sz val="10"/>
        <rFont val="Arial"/>
        <family val="2"/>
      </rPr>
      <t>&gt; t) =</t>
    </r>
  </si>
  <si>
    <t>n</t>
  </si>
  <si>
    <r>
      <t>P</t>
    </r>
    <r>
      <rPr>
        <vertAlign val="subscript"/>
        <sz val="10"/>
        <rFont val="Arial"/>
        <family val="2"/>
      </rPr>
      <t>n</t>
    </r>
  </si>
  <si>
    <t>Answer</t>
  </si>
  <si>
    <t>Q1.</t>
  </si>
  <si>
    <t>Optimized Peak Utilization</t>
  </si>
  <si>
    <t>Q2.</t>
  </si>
  <si>
    <t>Avg Waiting time in the System (in Minutes)</t>
  </si>
  <si>
    <t>Q3.</t>
  </si>
  <si>
    <t>Avg Waiting Time in the Que? (in minutes)</t>
  </si>
  <si>
    <t>Q4.</t>
  </si>
  <si>
    <t>Probability that 2 people are in the system at one time</t>
  </si>
  <si>
    <t>Cost &amp; Revenue Data</t>
  </si>
  <si>
    <t>Interest Rate Data</t>
  </si>
  <si>
    <t>Selling Price</t>
  </si>
  <si>
    <t>Initial Prime Rate</t>
  </si>
  <si>
    <t>Replacement Part Cost</t>
  </si>
  <si>
    <t>Loan Rate Prime Gap</t>
  </si>
  <si>
    <t>Monthly Fixed Cost</t>
  </si>
  <si>
    <t>Loan Rate Maximum</t>
  </si>
  <si>
    <t>Minimum Balance</t>
  </si>
  <si>
    <t>Savings Rate Prime Gap</t>
  </si>
  <si>
    <t>Starting Balance</t>
  </si>
  <si>
    <t>Savings Rate Minimum</t>
  </si>
  <si>
    <t>Sales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</si>
  <si>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</si>
  <si>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</si>
  <si>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</si>
  <si>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</si>
  <si>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</si>
  <si>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</si>
  <si>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</si>
  <si>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</si>
  <si>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</si>
  <si>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</si>
  <si>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</si>
  <si>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</si>
  <si>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Seasonality Index</t>
  </si>
  <si>
    <t>Base Sales</t>
  </si>
  <si>
    <t>Normal</t>
  </si>
  <si>
    <t>Std. Dev:</t>
  </si>
  <si>
    <t>Actual Sales</t>
  </si>
  <si>
    <t>Fraction Cash Customers</t>
  </si>
  <si>
    <t>Uniform</t>
  </si>
  <si>
    <t>Interest Rates</t>
  </si>
  <si>
    <t>Lower end</t>
  </si>
  <si>
    <t>Upper end</t>
  </si>
  <si>
    <t>Interest Rate Change</t>
  </si>
  <si>
    <t>Probability</t>
  </si>
  <si>
    <t>Prime Rate Change</t>
  </si>
  <si>
    <t>Prime Rate</t>
  </si>
  <si>
    <t>Loan Interest Rate</t>
  </si>
  <si>
    <t>Savings Interest Rate</t>
  </si>
  <si>
    <t>Manufacturing Costs</t>
  </si>
  <si>
    <t>Replacement Parts Cost</t>
  </si>
  <si>
    <t>Variable Cost</t>
  </si>
  <si>
    <t>Cash Flows</t>
  </si>
  <si>
    <t>Beginning Balance</t>
  </si>
  <si>
    <t>Profit Summary Statistics</t>
  </si>
  <si>
    <t>Cash Receipts</t>
  </si>
  <si>
    <t>Mean</t>
  </si>
  <si>
    <t>30-Day Credit Receipts</t>
  </si>
  <si>
    <t>Standard Deviation</t>
  </si>
  <si>
    <t>Fixed Cost</t>
  </si>
  <si>
    <t>Minimum Profit</t>
  </si>
  <si>
    <t>Total Variable Cost</t>
  </si>
  <si>
    <t>Maximum Profit</t>
  </si>
  <si>
    <t>Repair Cost</t>
  </si>
  <si>
    <t>P(Profit &lt; $100,000)</t>
  </si>
  <si>
    <t>Loan Payoff</t>
  </si>
  <si>
    <t>Simulation Count</t>
  </si>
  <si>
    <t>Loan Interest</t>
  </si>
  <si>
    <t>Savings Interest</t>
  </si>
  <si>
    <t>Balance Before Loan</t>
  </si>
  <si>
    <t>New Loan</t>
  </si>
  <si>
    <t>Ending Balance</t>
  </si>
  <si>
    <t>Simulation</t>
  </si>
  <si>
    <t>San Diego</t>
  </si>
  <si>
    <t>Los Angeles</t>
  </si>
  <si>
    <t>Denver</t>
  </si>
  <si>
    <t>Memphis</t>
  </si>
  <si>
    <t>New York</t>
  </si>
  <si>
    <t>St. Louis</t>
  </si>
  <si>
    <t>Chicago</t>
  </si>
  <si>
    <t>Boston</t>
  </si>
  <si>
    <t>Baltimore</t>
  </si>
  <si>
    <t>Pittsburgh</t>
  </si>
  <si>
    <t>Cincinnati</t>
  </si>
  <si>
    <t>Atlanta</t>
  </si>
  <si>
    <t>Dallas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</si>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</sst>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Geneva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Geneva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u/>
      <sz val="10"/>
      <name val="Arial"/>
      <family val="2"/>
    </font>
    <font>
      <b/>
      <sz val="10"/>
      <name val="Symbol"/>
      <family val="1"/>
      <charset val="2"/>
    </font>
    <font>
      <i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rgb="FFFF0000"/>
      <name val="Arial"/>
      <family val="2"/>
    </font>
    <font>
      <sz val="12"/>
      <color rgb="FFFFFFFF"/>
      <name val="Arial"/>
    </font>
  </fonts>
  <fills count="12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5" fillId="0" borderId="0"/>
    <xf numFmtId="0" fontId="9" fillId="0" borderId="0"/>
    <xf numFmtId="0" fontId="5" fillId="0" borderId="0"/>
    <xf numFmtId="43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Alignment="1">
      <alignment wrapText="1"/>
    </xf>
    <xf numFmtId="0" fontId="2" fillId="4" borderId="0" xfId="2" applyAlignment="1">
      <alignment horizontal="center"/>
    </xf>
    <xf numFmtId="0" fontId="2" fillId="4" borderId="0" xfId="2"/>
    <xf numFmtId="0" fontId="4" fillId="5" borderId="0" xfId="1" applyFont="1" applyFill="1" applyAlignment="1">
      <alignment horizontal="center"/>
    </xf>
    <xf numFmtId="0" fontId="4" fillId="6" borderId="1" xfId="5" applyFont="1" applyFill="1" applyBorder="1" applyAlignment="1">
      <alignment horizontal="center"/>
    </xf>
    <xf numFmtId="0" fontId="2" fillId="0" borderId="0" xfId="1" applyAlignment="1">
      <alignment vertical="center" wrapText="1"/>
    </xf>
    <xf numFmtId="0" fontId="2" fillId="5" borderId="3" xfId="3" applyFill="1" applyBorder="1" applyAlignment="1">
      <alignment horizontal="center"/>
    </xf>
    <xf numFmtId="0" fontId="2" fillId="5" borderId="4" xfId="3" applyFill="1" applyBorder="1" applyAlignment="1">
      <alignment horizontal="center"/>
    </xf>
    <xf numFmtId="0" fontId="2" fillId="5" borderId="2" xfId="3" applyFill="1" applyBorder="1" applyAlignment="1">
      <alignment horizontal="center"/>
    </xf>
    <xf numFmtId="1" fontId="2" fillId="7" borderId="3" xfId="1" applyNumberFormat="1" applyFill="1" applyBorder="1"/>
    <xf numFmtId="1" fontId="2" fillId="7" borderId="4" xfId="1" applyNumberFormat="1" applyFill="1" applyBorder="1"/>
    <xf numFmtId="1" fontId="2" fillId="7" borderId="2" xfId="1" applyNumberFormat="1" applyFill="1" applyBorder="1"/>
    <xf numFmtId="0" fontId="2" fillId="6" borderId="1" xfId="5" applyFont="1" applyFill="1" applyBorder="1"/>
    <xf numFmtId="0" fontId="2" fillId="4" borderId="3" xfId="2" applyBorder="1" applyAlignment="1">
      <alignment horizontal="center"/>
    </xf>
    <xf numFmtId="0" fontId="2" fillId="4" borderId="4" xfId="2" applyBorder="1" applyAlignment="1">
      <alignment horizontal="center"/>
    </xf>
    <xf numFmtId="0" fontId="2" fillId="4" borderId="2" xfId="2" applyBorder="1" applyAlignment="1">
      <alignment horizontal="center"/>
    </xf>
    <xf numFmtId="0" fontId="2" fillId="6" borderId="1" xfId="5" applyFont="1" applyFill="1" applyBorder="1" applyAlignment="1">
      <alignment horizontal="center"/>
    </xf>
    <xf numFmtId="0" fontId="2" fillId="5" borderId="3" xfId="3" applyFill="1" applyBorder="1"/>
    <xf numFmtId="0" fontId="2" fillId="5" borderId="4" xfId="3" applyFill="1" applyBorder="1"/>
    <xf numFmtId="0" fontId="2" fillId="5" borderId="2" xfId="3" applyFill="1" applyBorder="1"/>
    <xf numFmtId="2" fontId="2" fillId="4" borderId="3" xfId="2" applyNumberFormat="1" applyBorder="1"/>
    <xf numFmtId="2" fontId="2" fillId="4" borderId="4" xfId="2" applyNumberFormat="1" applyBorder="1"/>
    <xf numFmtId="2" fontId="0" fillId="4" borderId="4" xfId="2" applyNumberFormat="1" applyFont="1" applyBorder="1"/>
    <xf numFmtId="2" fontId="2" fillId="4" borderId="2" xfId="2" applyNumberFormat="1" applyBorder="1"/>
    <xf numFmtId="0" fontId="6" fillId="0" borderId="0" xfId="7" applyFont="1" applyProtection="1">
      <protection locked="0"/>
    </xf>
    <xf numFmtId="0" fontId="7" fillId="0" borderId="0" xfId="7" applyFont="1" applyAlignment="1" applyProtection="1">
      <alignment horizontal="right"/>
      <protection locked="0"/>
    </xf>
    <xf numFmtId="0" fontId="7" fillId="0" borderId="0" xfId="7" applyFont="1" applyAlignment="1" applyProtection="1">
      <alignment horizontal="center"/>
      <protection locked="0"/>
    </xf>
    <xf numFmtId="0" fontId="7" fillId="0" borderId="0" xfId="7" applyFont="1" applyProtection="1">
      <protection locked="0"/>
    </xf>
    <xf numFmtId="0" fontId="8" fillId="0" borderId="0" xfId="7" applyFont="1" applyAlignment="1" applyProtection="1">
      <alignment horizontal="center"/>
      <protection locked="0"/>
    </xf>
    <xf numFmtId="0" fontId="8" fillId="0" borderId="0" xfId="7" applyFont="1" applyAlignment="1" applyProtection="1">
      <alignment horizontal="centerContinuous"/>
      <protection locked="0"/>
    </xf>
    <xf numFmtId="0" fontId="10" fillId="0" borderId="0" xfId="7" applyFont="1" applyAlignment="1" applyProtection="1">
      <alignment horizontal="right"/>
      <protection locked="0"/>
    </xf>
    <xf numFmtId="0" fontId="7" fillId="9" borderId="0" xfId="7" applyFont="1" applyFill="1" applyAlignment="1" applyProtection="1">
      <alignment horizontal="center"/>
      <protection locked="0"/>
    </xf>
    <xf numFmtId="0" fontId="7" fillId="0" borderId="0" xfId="7" applyFont="1"/>
    <xf numFmtId="0" fontId="7" fillId="0" borderId="0" xfId="7" applyFont="1" applyAlignment="1">
      <alignment horizontal="right"/>
    </xf>
    <xf numFmtId="0" fontId="7" fillId="6" borderId="3" xfId="7" applyFont="1" applyFill="1" applyBorder="1" applyAlignment="1">
      <alignment horizontal="right"/>
    </xf>
    <xf numFmtId="0" fontId="7" fillId="6" borderId="4" xfId="7" applyFont="1" applyFill="1" applyBorder="1" applyAlignment="1">
      <alignment horizontal="right"/>
    </xf>
    <xf numFmtId="0" fontId="12" fillId="0" borderId="0" xfId="7" applyFont="1" applyAlignment="1" applyProtection="1">
      <alignment horizontal="center"/>
      <protection locked="0"/>
    </xf>
    <xf numFmtId="0" fontId="7" fillId="6" borderId="1" xfId="7" applyFont="1" applyFill="1" applyBorder="1" applyAlignment="1">
      <alignment horizontal="center"/>
    </xf>
    <xf numFmtId="0" fontId="8" fillId="0" borderId="0" xfId="7" applyFont="1" applyProtection="1">
      <protection locked="0"/>
    </xf>
    <xf numFmtId="0" fontId="13" fillId="0" borderId="0" xfId="7" applyFont="1" applyProtection="1">
      <protection locked="0"/>
    </xf>
    <xf numFmtId="0" fontId="10" fillId="0" borderId="0" xfId="7" applyFont="1" applyAlignment="1">
      <alignment horizontal="right"/>
    </xf>
    <xf numFmtId="0" fontId="7" fillId="6" borderId="2" xfId="7" applyFont="1" applyFill="1" applyBorder="1" applyAlignment="1">
      <alignment horizontal="right"/>
    </xf>
    <xf numFmtId="0" fontId="7" fillId="0" borderId="0" xfId="7" applyFont="1" applyAlignment="1">
      <alignment horizontal="center"/>
    </xf>
    <xf numFmtId="0" fontId="7" fillId="5" borderId="5" xfId="7" applyFont="1" applyFill="1" applyBorder="1" applyAlignment="1" applyProtection="1">
      <alignment horizontal="center"/>
      <protection locked="0"/>
    </xf>
    <xf numFmtId="0" fontId="7" fillId="0" borderId="0" xfId="8" applyFont="1" applyAlignment="1">
      <alignment horizontal="center"/>
    </xf>
    <xf numFmtId="0" fontId="8" fillId="0" borderId="0" xfId="8" applyFont="1" applyAlignment="1">
      <alignment horizontal="center"/>
    </xf>
    <xf numFmtId="0" fontId="7" fillId="0" borderId="0" xfId="8" applyFont="1" applyAlignment="1">
      <alignment horizontal="right"/>
    </xf>
    <xf numFmtId="6" fontId="7" fillId="9" borderId="0" xfId="8" applyNumberFormat="1" applyFont="1" applyFill="1" applyAlignment="1">
      <alignment horizontal="center"/>
    </xf>
    <xf numFmtId="6" fontId="7" fillId="0" borderId="0" xfId="8" applyNumberFormat="1" applyFont="1" applyAlignment="1">
      <alignment horizontal="center"/>
    </xf>
    <xf numFmtId="164" fontId="7" fillId="9" borderId="0" xfId="8" applyNumberFormat="1" applyFont="1" applyFill="1" applyAlignment="1">
      <alignment horizontal="center"/>
    </xf>
    <xf numFmtId="9" fontId="7" fillId="0" borderId="0" xfId="8" applyNumberFormat="1" applyFont="1" applyAlignment="1">
      <alignment horizontal="center"/>
    </xf>
    <xf numFmtId="0" fontId="8" fillId="0" borderId="0" xfId="8" applyFont="1" applyAlignment="1">
      <alignment horizontal="left"/>
    </xf>
    <xf numFmtId="0" fontId="7" fillId="9" borderId="0" xfId="8" applyFont="1" applyFill="1" applyAlignment="1">
      <alignment horizontal="center"/>
    </xf>
    <xf numFmtId="3" fontId="7" fillId="9" borderId="0" xfId="9" applyNumberFormat="1" applyFont="1" applyFill="1" applyBorder="1" applyAlignment="1">
      <alignment horizontal="center"/>
    </xf>
    <xf numFmtId="3" fontId="7" fillId="10" borderId="0" xfId="9" applyNumberFormat="1" applyFont="1" applyFill="1" applyAlignment="1">
      <alignment horizontal="center"/>
    </xf>
    <xf numFmtId="0" fontId="14" fillId="9" borderId="0" xfId="8" applyFont="1" applyFill="1" applyAlignment="1">
      <alignment horizontal="center"/>
    </xf>
    <xf numFmtId="3" fontId="7" fillId="0" borderId="0" xfId="9" applyNumberFormat="1" applyFont="1" applyFill="1" applyBorder="1" applyAlignment="1">
      <alignment horizontal="center"/>
    </xf>
    <xf numFmtId="9" fontId="7" fillId="10" borderId="0" xfId="8" applyNumberFormat="1" applyFont="1" applyFill="1" applyAlignment="1">
      <alignment horizontal="center"/>
    </xf>
    <xf numFmtId="9" fontId="7" fillId="9" borderId="0" xfId="8" applyNumberFormat="1" applyFont="1" applyFill="1" applyAlignment="1">
      <alignment horizontal="center"/>
    </xf>
    <xf numFmtId="0" fontId="7" fillId="0" borderId="5" xfId="8" applyFont="1" applyBorder="1" applyAlignment="1">
      <alignment horizontal="center"/>
    </xf>
    <xf numFmtId="10" fontId="7" fillId="10" borderId="0" xfId="8" applyNumberFormat="1" applyFont="1" applyFill="1" applyAlignment="1">
      <alignment horizontal="center"/>
    </xf>
    <xf numFmtId="0" fontId="7" fillId="9" borderId="5" xfId="8" applyFont="1" applyFill="1" applyBorder="1" applyAlignment="1">
      <alignment horizontal="center"/>
    </xf>
    <xf numFmtId="10" fontId="7" fillId="9" borderId="5" xfId="8" applyNumberFormat="1" applyFont="1" applyFill="1" applyBorder="1" applyAlignment="1">
      <alignment horizontal="center"/>
    </xf>
    <xf numFmtId="10" fontId="7" fillId="0" borderId="0" xfId="8" applyNumberFormat="1" applyFont="1" applyAlignment="1">
      <alignment horizontal="center"/>
    </xf>
    <xf numFmtId="9" fontId="7" fillId="9" borderId="5" xfId="8" applyNumberFormat="1" applyFont="1" applyFill="1" applyBorder="1" applyAlignment="1">
      <alignment horizontal="center"/>
    </xf>
    <xf numFmtId="0" fontId="7" fillId="10" borderId="0" xfId="8" applyFont="1" applyFill="1" applyAlignment="1">
      <alignment horizontal="center"/>
    </xf>
    <xf numFmtId="0" fontId="14" fillId="0" borderId="0" xfId="8" applyFont="1" applyAlignment="1">
      <alignment horizontal="center"/>
    </xf>
    <xf numFmtId="8" fontId="7" fillId="10" borderId="0" xfId="8" applyNumberFormat="1" applyFont="1" applyFill="1" applyAlignment="1">
      <alignment horizontal="center"/>
    </xf>
    <xf numFmtId="165" fontId="7" fillId="0" borderId="0" xfId="8" applyNumberFormat="1" applyFont="1" applyAlignment="1">
      <alignment horizontal="center"/>
    </xf>
    <xf numFmtId="0" fontId="15" fillId="0" borderId="0" xfId="10" applyFont="1"/>
    <xf numFmtId="0" fontId="16" fillId="0" borderId="0" xfId="10" applyFont="1"/>
    <xf numFmtId="165" fontId="16" fillId="11" borderId="5" xfId="10" applyNumberFormat="1" applyFont="1" applyFill="1" applyBorder="1" applyAlignment="1">
      <alignment horizontal="center" vertical="center"/>
    </xf>
    <xf numFmtId="165" fontId="16" fillId="11" borderId="5" xfId="11" applyNumberFormat="1" applyFont="1" applyFill="1" applyBorder="1" applyAlignment="1">
      <alignment horizontal="center" vertical="center"/>
    </xf>
    <xf numFmtId="0" fontId="17" fillId="0" borderId="0" xfId="8" applyFont="1" applyAlignment="1">
      <alignment horizontal="right"/>
    </xf>
    <xf numFmtId="165" fontId="17" fillId="0" borderId="0" xfId="8" applyNumberFormat="1" applyFont="1" applyAlignment="1">
      <alignment horizontal="center"/>
    </xf>
    <xf numFmtId="164" fontId="16" fillId="11" borderId="5" xfId="12" applyNumberFormat="1" applyFont="1" applyFill="1" applyBorder="1" applyAlignment="1">
      <alignment horizontal="center" vertical="center"/>
    </xf>
    <xf numFmtId="0" fontId="16" fillId="11" borderId="5" xfId="8" applyFont="1" applyFill="1" applyBorder="1" applyAlignment="1">
      <alignment horizontal="center" vertical="center"/>
    </xf>
    <xf numFmtId="166" fontId="7" fillId="0" borderId="0" xfId="8" applyNumberFormat="1" applyFont="1" applyAlignment="1">
      <alignment horizontal="center"/>
    </xf>
    <xf numFmtId="0" fontId="9" fillId="0" borderId="0" xfId="10"/>
    <xf numFmtId="0" fontId="18" fillId="0" borderId="0" xfId="0" applyFont="1"/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1" fillId="8" borderId="1" xfId="1" applyFont="1" applyFill="1" applyBorder="1" applyAlignment="1">
      <alignment horizontal="center"/>
    </xf>
  </cellXfs>
  <cellStyles count="13">
    <cellStyle name="40% - Accent5 2" xfId="2" xr:uid="{AA4DBBEC-B9B9-46AA-AFB0-A2FB42766FDD}"/>
    <cellStyle name="60% - Accent4 2" xfId="3" xr:uid="{32671613-5B54-4757-B26B-125938864D11}"/>
    <cellStyle name="Accent2 2" xfId="5" xr:uid="{D4841E93-5FC1-441F-9D8C-713D2AD27DF7}"/>
    <cellStyle name="Comma 2" xfId="9" xr:uid="{01FF87F9-5DAC-4467-B72F-836C835A839C}"/>
    <cellStyle name="Currency 2" xfId="4" xr:uid="{F7537C87-02D0-4B8E-A954-B0E72A72487A}"/>
    <cellStyle name="Currency 3" xfId="11" xr:uid="{3F958A5D-1AAB-49AF-AD39-22AE579566BF}"/>
    <cellStyle name="Normal" xfId="0" builtinId="0"/>
    <cellStyle name="Normal 2" xfId="1" xr:uid="{5B43215A-C2D2-4F57-B5B7-BE864D2AEDB9}"/>
    <cellStyle name="Normal 3" xfId="6" xr:uid="{F908F65B-9381-4BB0-B342-F3E3A02F9B5E}"/>
    <cellStyle name="Normal 4" xfId="10" xr:uid="{5F2C4045-0ABB-46FB-81DA-48D57F1812A5}"/>
    <cellStyle name="Normal_Answers 11.xls" xfId="7" xr:uid="{505F63E4-3ABB-41F3-9F5A-D765BC6D6768}"/>
    <cellStyle name="Normal_Final Solution.xls" xfId="8" xr:uid="{C762611C-8C00-4991-9062-D12F71977CFF}"/>
    <cellStyle name="Percent 2" xfId="12" xr:uid="{C39AC5A5-2FF1-42ED-A2ED-7F8A8CF481CA}"/>
  </cellStyles>
  <dxfs count="0"/>
  <tableStyles count="0" defaultTableStyle="TableStyleMedium2" defaultPivotStyle="PivotStyleLight16"/>
  <colors>
    <mruColors>
      <color rgb="FFFF99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85698162568501"/>
          <c:y val="0.105263759044677"/>
          <c:w val="0.84332768236188604"/>
          <c:h val="0.637430540881651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'Question 4'!$G$13:$G$38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'Question 4'!$H$13:$H$38</c:f>
              <c:numCache>
                <c:formatCode>General</c:formatCode>
                <c:ptCount val="26"/>
                <c:pt idx="0">
                  <c:v>4.4943820224719093E-2</c:v>
                </c:pt>
                <c:pt idx="1">
                  <c:v>0.11235955056179774</c:v>
                </c:pt>
                <c:pt idx="2">
                  <c:v>0.14044943820224717</c:v>
                </c:pt>
                <c:pt idx="3">
                  <c:v>0.11704119850187263</c:v>
                </c:pt>
                <c:pt idx="4">
                  <c:v>9.7534332084893871E-2</c:v>
                </c:pt>
                <c:pt idx="5">
                  <c:v>8.1278610070744883E-2</c:v>
                </c:pt>
                <c:pt idx="6">
                  <c:v>6.7732175058954069E-2</c:v>
                </c:pt>
                <c:pt idx="7">
                  <c:v>5.644347921579506E-2</c:v>
                </c:pt>
                <c:pt idx="8">
                  <c:v>4.7036232679829218E-2</c:v>
                </c:pt>
                <c:pt idx="9">
                  <c:v>3.9196860566524348E-2</c:v>
                </c:pt>
                <c:pt idx="10">
                  <c:v>3.2664050472103627E-2</c:v>
                </c:pt>
                <c:pt idx="11">
                  <c:v>2.7220042060086352E-2</c:v>
                </c:pt>
                <c:pt idx="12">
                  <c:v>2.2683368383405293E-2</c:v>
                </c:pt>
                <c:pt idx="13">
                  <c:v>1.8902806986171077E-2</c:v>
                </c:pt>
                <c:pt idx="14">
                  <c:v>1.5752339155142566E-2</c:v>
                </c:pt>
                <c:pt idx="15">
                  <c:v>1.3126949295952138E-2</c:v>
                </c:pt>
                <c:pt idx="16">
                  <c:v>1.0939124413293448E-2</c:v>
                </c:pt>
                <c:pt idx="17">
                  <c:v>9.115937011077874E-3</c:v>
                </c:pt>
                <c:pt idx="18">
                  <c:v>7.5966141758982281E-3</c:v>
                </c:pt>
                <c:pt idx="19">
                  <c:v>6.3305118132485228E-3</c:v>
                </c:pt>
                <c:pt idx="20">
                  <c:v>5.2754265110404363E-3</c:v>
                </c:pt>
                <c:pt idx="21">
                  <c:v>4.3961887592003637E-3</c:v>
                </c:pt>
                <c:pt idx="22">
                  <c:v>3.6634906326669693E-3</c:v>
                </c:pt>
                <c:pt idx="23">
                  <c:v>3.0529088605558076E-3</c:v>
                </c:pt>
                <c:pt idx="24">
                  <c:v>2.54409071712984E-3</c:v>
                </c:pt>
                <c:pt idx="25">
                  <c:v>2.1200755976082002E-3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9-45CD-ACA6-86C0C1B06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426368"/>
        <c:axId val="1981428560"/>
      </c:barChart>
      <c:catAx>
        <c:axId val="19814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9071607345019999"/>
              <c:y val="0.853806081257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142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1428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5473887814313299E-2"/>
              <c:y val="0.2923995026937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14263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1828800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6AAB68-56A0-49EA-84D5-68B6BE92B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mson-my.sharepoint.com/personal/dpeyton_clemson_edu/Documents/3.%20MGT-3120%20FA23/Excel%20Homework%20and%20Exams/Exam%203B/3B%20sim%20Q/Exam%203B%20(blank).xlsx" TargetMode="External"/><Relationship Id="rId1" Type="http://schemas.openxmlformats.org/officeDocument/2006/relationships/externalLinkPath" Target="https://clemson-my.sharepoint.com/personal/dpeyton_clemson_edu/Documents/3.%20MGT-3120%20FA23/Excel%20Homework%20and%20Exams/Exam%203B/3B%20sim%20Q/Exam%203B%20(blan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B_DATA_"/>
      <sheetName val="Simulation"/>
      <sheetName val="Question 4"/>
      <sheetName val="Part 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E50E10D-0838-4435-BCA4-7D118226C0A3}">
  <we:reference id="wa200000018" version="21.0.0.0" store="en-US" storeType="OMEX"/>
  <we:alternateReferences>
    <we:reference id="WA200000018" version="21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PsiOptStatus</we:customFunctionIds>
        <we:customFunctionIds>PsiPivotCube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EEE6-34A5-4E2D-83EE-982AAF7067BC}">
  <sheetPr>
    <pageSetUpPr fitToPage="1"/>
  </sheetPr>
  <dimension ref="B2:XX1000"/>
  <sheetViews>
    <sheetView workbookViewId="0">
      <selection activeCell="H15" sqref="H15"/>
    </sheetView>
  </sheetViews>
  <sheetFormatPr baseColWidth="10" defaultColWidth="12.5" defaultRowHeight="16" x14ac:dyDescent="0.2"/>
  <cols>
    <col min="1" max="7" width="12.5" style="1"/>
    <col min="8" max="8" width="15.83203125" style="1" customWidth="1"/>
    <col min="9" max="9" width="12.5" style="1"/>
    <col min="10" max="10" width="3.83203125" style="1" customWidth="1"/>
    <col min="11" max="11" width="17" style="1" bestFit="1" customWidth="1"/>
    <col min="12" max="16384" width="12.5" style="1"/>
  </cols>
  <sheetData>
    <row r="2" spans="2:11" ht="17" thickBot="1" x14ac:dyDescent="0.25">
      <c r="B2" s="3" t="s">
        <v>9</v>
      </c>
      <c r="C2" s="3" t="s">
        <v>8</v>
      </c>
      <c r="D2" s="3" t="s">
        <v>7</v>
      </c>
      <c r="E2" s="3" t="s">
        <v>6</v>
      </c>
      <c r="F2" s="3"/>
      <c r="H2" s="3" t="s">
        <v>5</v>
      </c>
      <c r="I2" s="3" t="s">
        <v>4</v>
      </c>
      <c r="J2" s="3"/>
      <c r="K2" s="3" t="s">
        <v>3</v>
      </c>
    </row>
    <row r="3" spans="2:11" x14ac:dyDescent="0.2">
      <c r="B3" s="84" t="s">
        <v>109</v>
      </c>
      <c r="C3" s="84" t="s">
        <v>110</v>
      </c>
      <c r="D3" s="10">
        <v>0</v>
      </c>
      <c r="E3" s="13">
        <v>9</v>
      </c>
      <c r="H3" s="84" t="s">
        <v>109</v>
      </c>
      <c r="I3" s="2">
        <f t="shared" ref="I3:I9" si="0">SUMIF(From, H3, Ship)-SUMIF(To, H3, Ship)</f>
        <v>1</v>
      </c>
      <c r="J3" s="2" t="s">
        <v>2</v>
      </c>
      <c r="K3" s="5">
        <v>1</v>
      </c>
    </row>
    <row r="4" spans="2:11" x14ac:dyDescent="0.2">
      <c r="B4" s="84" t="s">
        <v>109</v>
      </c>
      <c r="C4" s="84" t="s">
        <v>111</v>
      </c>
      <c r="D4" s="11">
        <v>0</v>
      </c>
      <c r="E4" s="14">
        <v>20</v>
      </c>
      <c r="H4" s="84" t="s">
        <v>110</v>
      </c>
      <c r="I4" s="2">
        <f t="shared" si="0"/>
        <v>0</v>
      </c>
      <c r="J4" s="2" t="s">
        <v>2</v>
      </c>
      <c r="K4" s="5">
        <v>0</v>
      </c>
    </row>
    <row r="5" spans="2:11" x14ac:dyDescent="0.2">
      <c r="B5" s="84" t="s">
        <v>109</v>
      </c>
      <c r="C5" s="84" t="s">
        <v>112</v>
      </c>
      <c r="D5" s="11">
        <v>1</v>
      </c>
      <c r="E5" s="14">
        <v>53</v>
      </c>
      <c r="H5" s="84" t="s">
        <v>111</v>
      </c>
      <c r="I5" s="2">
        <f t="shared" si="0"/>
        <v>0</v>
      </c>
      <c r="J5" s="2" t="s">
        <v>2</v>
      </c>
      <c r="K5" s="5">
        <v>0</v>
      </c>
    </row>
    <row r="6" spans="2:11" x14ac:dyDescent="0.2">
      <c r="B6" s="84" t="s">
        <v>109</v>
      </c>
      <c r="C6" s="84" t="s">
        <v>113</v>
      </c>
      <c r="D6" s="11">
        <v>0</v>
      </c>
      <c r="E6" s="14">
        <v>112</v>
      </c>
      <c r="H6" s="84" t="s">
        <v>114</v>
      </c>
      <c r="I6" s="2">
        <f t="shared" si="0"/>
        <v>0</v>
      </c>
      <c r="J6" s="2" t="s">
        <v>2</v>
      </c>
      <c r="K6" s="5">
        <v>0</v>
      </c>
    </row>
    <row r="7" spans="2:11" x14ac:dyDescent="0.2">
      <c r="B7" s="84" t="s">
        <v>110</v>
      </c>
      <c r="C7" s="84" t="s">
        <v>111</v>
      </c>
      <c r="D7" s="11">
        <v>0</v>
      </c>
      <c r="E7" s="14">
        <v>36</v>
      </c>
      <c r="H7" s="84" t="s">
        <v>112</v>
      </c>
      <c r="I7" s="2">
        <f t="shared" si="0"/>
        <v>0</v>
      </c>
      <c r="J7" s="2" t="s">
        <v>2</v>
      </c>
      <c r="K7" s="5">
        <v>0</v>
      </c>
    </row>
    <row r="8" spans="2:11" x14ac:dyDescent="0.2">
      <c r="B8" s="84" t="s">
        <v>110</v>
      </c>
      <c r="C8" s="84" t="s">
        <v>114</v>
      </c>
      <c r="D8" s="11">
        <v>0</v>
      </c>
      <c r="E8" s="14">
        <v>28</v>
      </c>
      <c r="H8" s="84" t="s">
        <v>115</v>
      </c>
      <c r="I8" s="2">
        <f t="shared" si="0"/>
        <v>0</v>
      </c>
      <c r="J8" s="2" t="s">
        <v>2</v>
      </c>
      <c r="K8" s="5">
        <v>0</v>
      </c>
    </row>
    <row r="9" spans="2:11" x14ac:dyDescent="0.2">
      <c r="B9" s="84" t="s">
        <v>110</v>
      </c>
      <c r="C9" s="84" t="s">
        <v>112</v>
      </c>
      <c r="D9" s="11">
        <v>0</v>
      </c>
      <c r="E9" s="14">
        <v>57</v>
      </c>
      <c r="H9" s="84" t="s">
        <v>113</v>
      </c>
      <c r="I9" s="2">
        <f t="shared" si="0"/>
        <v>-1</v>
      </c>
      <c r="J9" s="2" t="s">
        <v>2</v>
      </c>
      <c r="K9" s="5">
        <v>-1</v>
      </c>
    </row>
    <row r="10" spans="2:11" x14ac:dyDescent="0.2">
      <c r="B10" s="84" t="s">
        <v>110</v>
      </c>
      <c r="C10" s="85" t="s">
        <v>113</v>
      </c>
      <c r="D10" s="11">
        <v>0</v>
      </c>
      <c r="E10" s="14">
        <v>109</v>
      </c>
    </row>
    <row r="11" spans="2:11" x14ac:dyDescent="0.2">
      <c r="B11" s="84" t="s">
        <v>111</v>
      </c>
      <c r="C11" s="84" t="s">
        <v>114</v>
      </c>
      <c r="D11" s="11">
        <v>0</v>
      </c>
      <c r="E11" s="14">
        <v>23</v>
      </c>
    </row>
    <row r="12" spans="2:11" x14ac:dyDescent="0.2">
      <c r="B12" s="84" t="s">
        <v>111</v>
      </c>
      <c r="C12" s="84" t="s">
        <v>112</v>
      </c>
      <c r="D12" s="11">
        <v>0</v>
      </c>
      <c r="E12" s="14">
        <v>41</v>
      </c>
    </row>
    <row r="13" spans="2:11" x14ac:dyDescent="0.2">
      <c r="B13" s="84" t="s">
        <v>111</v>
      </c>
      <c r="C13" s="84" t="s">
        <v>115</v>
      </c>
      <c r="D13" s="11">
        <v>0</v>
      </c>
      <c r="E13" s="14">
        <v>43</v>
      </c>
    </row>
    <row r="14" spans="2:11" ht="17" thickBot="1" x14ac:dyDescent="0.25">
      <c r="B14" s="84" t="s">
        <v>114</v>
      </c>
      <c r="C14" s="84" t="s">
        <v>111</v>
      </c>
      <c r="D14" s="11">
        <v>0</v>
      </c>
      <c r="E14" s="14">
        <v>23</v>
      </c>
    </row>
    <row r="15" spans="2:11" ht="17" thickBot="1" x14ac:dyDescent="0.25">
      <c r="B15" s="84" t="s">
        <v>114</v>
      </c>
      <c r="C15" s="84" t="s">
        <v>112</v>
      </c>
      <c r="D15" s="11">
        <v>0</v>
      </c>
      <c r="E15" s="14">
        <v>44</v>
      </c>
      <c r="G15" s="3" t="s">
        <v>1</v>
      </c>
      <c r="H15" s="16">
        <f>SUMPRODUCT(Ship, Cost)</f>
        <v>87</v>
      </c>
    </row>
    <row r="16" spans="2:11" x14ac:dyDescent="0.2">
      <c r="B16" s="84" t="s">
        <v>114</v>
      </c>
      <c r="C16" s="84" t="s">
        <v>115</v>
      </c>
      <c r="D16" s="11">
        <v>0</v>
      </c>
      <c r="E16" s="14">
        <v>33</v>
      </c>
    </row>
    <row r="17" spans="2:11" x14ac:dyDescent="0.2">
      <c r="B17" s="84" t="s">
        <v>112</v>
      </c>
      <c r="C17" s="84" t="s">
        <v>114</v>
      </c>
      <c r="D17" s="11">
        <v>0</v>
      </c>
      <c r="E17" s="14">
        <v>44</v>
      </c>
    </row>
    <row r="18" spans="2:11" x14ac:dyDescent="0.2">
      <c r="B18" s="84" t="s">
        <v>112</v>
      </c>
      <c r="C18" s="84" t="s">
        <v>115</v>
      </c>
      <c r="D18" s="11">
        <v>0</v>
      </c>
      <c r="E18" s="14">
        <v>27</v>
      </c>
      <c r="G18" s="4"/>
      <c r="H18" s="4"/>
      <c r="I18" s="4"/>
      <c r="J18" s="4"/>
      <c r="K18" s="4"/>
    </row>
    <row r="19" spans="2:11" x14ac:dyDescent="0.2">
      <c r="B19" s="84" t="s">
        <v>112</v>
      </c>
      <c r="C19" s="84" t="s">
        <v>113</v>
      </c>
      <c r="D19" s="11">
        <v>1</v>
      </c>
      <c r="E19" s="14">
        <v>34</v>
      </c>
      <c r="G19" s="4"/>
      <c r="H19" s="4"/>
      <c r="I19" s="4"/>
      <c r="J19" s="4"/>
      <c r="K19" s="4"/>
    </row>
    <row r="20" spans="2:11" x14ac:dyDescent="0.2">
      <c r="B20" s="84" t="s">
        <v>115</v>
      </c>
      <c r="C20" s="84" t="s">
        <v>114</v>
      </c>
      <c r="D20" s="11">
        <v>0</v>
      </c>
      <c r="E20" s="14">
        <v>33</v>
      </c>
      <c r="G20" s="4"/>
      <c r="H20" s="4"/>
      <c r="I20" s="4"/>
      <c r="J20" s="4"/>
      <c r="K20" s="4"/>
    </row>
    <row r="21" spans="2:11" x14ac:dyDescent="0.2">
      <c r="B21" s="84" t="s">
        <v>115</v>
      </c>
      <c r="C21" s="84" t="s">
        <v>112</v>
      </c>
      <c r="D21" s="11">
        <v>0</v>
      </c>
      <c r="E21" s="14">
        <v>27</v>
      </c>
      <c r="G21" s="4"/>
      <c r="H21" s="4"/>
      <c r="I21" s="4"/>
      <c r="J21" s="4"/>
      <c r="K21" s="4"/>
    </row>
    <row r="22" spans="2:11" ht="17" thickBot="1" x14ac:dyDescent="0.25">
      <c r="B22" s="84" t="s">
        <v>115</v>
      </c>
      <c r="C22" s="84" t="s">
        <v>113</v>
      </c>
      <c r="D22" s="12">
        <v>0</v>
      </c>
      <c r="E22" s="15">
        <v>26</v>
      </c>
      <c r="G22" s="4"/>
      <c r="H22" s="4"/>
      <c r="I22" s="4"/>
      <c r="J22" s="4"/>
      <c r="K22" s="4"/>
    </row>
    <row r="24" spans="2:11" x14ac:dyDescent="0.2">
      <c r="F24" s="3"/>
    </row>
    <row r="1000" spans="648:648" x14ac:dyDescent="0.2">
      <c r="XX1000" s="83">
        <v>82026</v>
      </c>
    </row>
  </sheetData>
  <pageMargins left="0.25" right="0.25" top="0.75" bottom="0.75" header="0.3" footer="0.3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DEAD-A09A-483B-8E29-E1B011E90D1F}">
  <dimension ref="B1:XX1000"/>
  <sheetViews>
    <sheetView workbookViewId="0">
      <selection activeCell="I14" sqref="I14"/>
    </sheetView>
  </sheetViews>
  <sheetFormatPr baseColWidth="10" defaultColWidth="12.5" defaultRowHeight="16" x14ac:dyDescent="0.2"/>
  <cols>
    <col min="1" max="1" width="12.5" style="1"/>
    <col min="2" max="3" width="10.83203125" style="1" bestFit="1" customWidth="1"/>
    <col min="4" max="4" width="5.33203125" style="1" bestFit="1" customWidth="1"/>
    <col min="5" max="5" width="3.5" style="1" bestFit="1" customWidth="1"/>
    <col min="6" max="6" width="9.33203125" style="1" bestFit="1" customWidth="1"/>
    <col min="7" max="7" width="4.6640625" style="1" customWidth="1"/>
    <col min="8" max="8" width="16" style="1" bestFit="1" customWidth="1"/>
    <col min="9" max="9" width="10.83203125" style="1" bestFit="1" customWidth="1"/>
    <col min="10" max="10" width="9.83203125" style="1" bestFit="1" customWidth="1"/>
    <col min="11" max="11" width="2.5" style="1" bestFit="1" customWidth="1"/>
    <col min="12" max="12" width="16.5" style="1" bestFit="1" customWidth="1"/>
    <col min="13" max="16384" width="12.5" style="1"/>
  </cols>
  <sheetData>
    <row r="1" spans="2:12" x14ac:dyDescent="0.2">
      <c r="I1" s="3" t="s">
        <v>5</v>
      </c>
      <c r="J1" s="3" t="s">
        <v>4</v>
      </c>
      <c r="L1" s="3" t="s">
        <v>3</v>
      </c>
    </row>
    <row r="2" spans="2:12" ht="17" thickBot="1" x14ac:dyDescent="0.25">
      <c r="B2" s="3" t="s">
        <v>9</v>
      </c>
      <c r="C2" s="3" t="s">
        <v>8</v>
      </c>
      <c r="D2" s="7" t="s">
        <v>7</v>
      </c>
      <c r="E2" s="3"/>
      <c r="F2" s="3" t="s">
        <v>11</v>
      </c>
      <c r="I2" s="86" t="s">
        <v>116</v>
      </c>
      <c r="J2" s="1">
        <f t="shared" ref="J2:J9" si="0">SUMIF(From, I2, Ship)-SUMIF(To, I2, Ship)</f>
        <v>60</v>
      </c>
    </row>
    <row r="3" spans="2:12" x14ac:dyDescent="0.2">
      <c r="B3" s="86" t="s">
        <v>116</v>
      </c>
      <c r="C3" s="86" t="s">
        <v>117</v>
      </c>
      <c r="D3" s="10">
        <v>12</v>
      </c>
      <c r="E3" s="2" t="s">
        <v>0</v>
      </c>
      <c r="F3" s="17">
        <v>32</v>
      </c>
      <c r="I3" s="86" t="s">
        <v>117</v>
      </c>
      <c r="J3" s="1">
        <f t="shared" si="0"/>
        <v>0</v>
      </c>
      <c r="K3" s="2" t="s">
        <v>2</v>
      </c>
      <c r="L3" s="6">
        <v>0</v>
      </c>
    </row>
    <row r="4" spans="2:12" x14ac:dyDescent="0.2">
      <c r="B4" s="86" t="s">
        <v>116</v>
      </c>
      <c r="C4" s="86" t="s">
        <v>118</v>
      </c>
      <c r="D4" s="11">
        <v>30</v>
      </c>
      <c r="E4" s="2" t="s">
        <v>0</v>
      </c>
      <c r="F4" s="18">
        <v>30</v>
      </c>
      <c r="I4" s="86" t="s">
        <v>118</v>
      </c>
      <c r="J4" s="1">
        <f t="shared" si="0"/>
        <v>0</v>
      </c>
      <c r="K4" s="2" t="s">
        <v>2</v>
      </c>
      <c r="L4" s="6">
        <v>0</v>
      </c>
    </row>
    <row r="5" spans="2:12" x14ac:dyDescent="0.2">
      <c r="B5" s="86" t="s">
        <v>116</v>
      </c>
      <c r="C5" s="86" t="s">
        <v>119</v>
      </c>
      <c r="D5" s="11">
        <v>18</v>
      </c>
      <c r="E5" s="2" t="s">
        <v>0</v>
      </c>
      <c r="F5" s="18">
        <v>37</v>
      </c>
      <c r="I5" s="86" t="s">
        <v>119</v>
      </c>
      <c r="J5" s="1">
        <f t="shared" si="0"/>
        <v>0</v>
      </c>
      <c r="K5" s="2" t="s">
        <v>2</v>
      </c>
      <c r="L5" s="6">
        <v>0</v>
      </c>
    </row>
    <row r="6" spans="2:12" x14ac:dyDescent="0.2">
      <c r="B6" s="86" t="s">
        <v>117</v>
      </c>
      <c r="C6" s="86" t="s">
        <v>120</v>
      </c>
      <c r="D6" s="11">
        <v>12</v>
      </c>
      <c r="E6" s="2" t="s">
        <v>0</v>
      </c>
      <c r="F6" s="18">
        <v>12</v>
      </c>
      <c r="I6" s="86" t="s">
        <v>120</v>
      </c>
      <c r="J6" s="1">
        <f t="shared" si="0"/>
        <v>0</v>
      </c>
      <c r="K6" s="2" t="s">
        <v>2</v>
      </c>
      <c r="L6" s="6">
        <v>0</v>
      </c>
    </row>
    <row r="7" spans="2:12" x14ac:dyDescent="0.2">
      <c r="B7" s="86" t="s">
        <v>117</v>
      </c>
      <c r="C7" s="86" t="s">
        <v>119</v>
      </c>
      <c r="D7" s="11">
        <v>0</v>
      </c>
      <c r="E7" s="2" t="s">
        <v>0</v>
      </c>
      <c r="F7" s="18">
        <v>7</v>
      </c>
      <c r="I7" s="86" t="s">
        <v>115</v>
      </c>
      <c r="J7" s="1">
        <f t="shared" si="0"/>
        <v>0</v>
      </c>
      <c r="K7" s="2" t="s">
        <v>2</v>
      </c>
      <c r="L7" s="6">
        <v>0</v>
      </c>
    </row>
    <row r="8" spans="2:12" x14ac:dyDescent="0.2">
      <c r="B8" s="86" t="s">
        <v>118</v>
      </c>
      <c r="C8" s="86" t="s">
        <v>120</v>
      </c>
      <c r="D8" s="11">
        <v>10</v>
      </c>
      <c r="E8" s="2" t="s">
        <v>0</v>
      </c>
      <c r="F8" s="18">
        <v>17</v>
      </c>
      <c r="I8" s="86" t="s">
        <v>112</v>
      </c>
      <c r="J8" s="1">
        <f t="shared" si="0"/>
        <v>0</v>
      </c>
      <c r="K8" s="2" t="s">
        <v>2</v>
      </c>
      <c r="L8" s="6">
        <v>0</v>
      </c>
    </row>
    <row r="9" spans="2:12" x14ac:dyDescent="0.2">
      <c r="B9" s="86" t="s">
        <v>118</v>
      </c>
      <c r="C9" s="86" t="s">
        <v>115</v>
      </c>
      <c r="D9" s="11">
        <v>20</v>
      </c>
      <c r="E9" s="2" t="s">
        <v>0</v>
      </c>
      <c r="F9" s="18">
        <v>20</v>
      </c>
      <c r="I9" s="86" t="s">
        <v>121</v>
      </c>
      <c r="J9" s="1">
        <f t="shared" si="0"/>
        <v>-60</v>
      </c>
    </row>
    <row r="10" spans="2:12" x14ac:dyDescent="0.2">
      <c r="B10" s="86" t="s">
        <v>119</v>
      </c>
      <c r="C10" s="86" t="s">
        <v>115</v>
      </c>
      <c r="D10" s="11">
        <v>17</v>
      </c>
      <c r="E10" s="2" t="s">
        <v>0</v>
      </c>
      <c r="F10" s="18">
        <v>17</v>
      </c>
    </row>
    <row r="11" spans="2:12" x14ac:dyDescent="0.2">
      <c r="B11" s="86" t="s">
        <v>119</v>
      </c>
      <c r="C11" s="86" t="s">
        <v>112</v>
      </c>
      <c r="D11" s="11">
        <v>1</v>
      </c>
      <c r="E11" s="2" t="s">
        <v>0</v>
      </c>
      <c r="F11" s="18">
        <v>7</v>
      </c>
    </row>
    <row r="12" spans="2:12" ht="17" thickBot="1" x14ac:dyDescent="0.25">
      <c r="B12" s="86" t="s">
        <v>120</v>
      </c>
      <c r="C12" s="86" t="s">
        <v>112</v>
      </c>
      <c r="D12" s="11">
        <v>10</v>
      </c>
      <c r="E12" s="2" t="s">
        <v>0</v>
      </c>
      <c r="F12" s="18">
        <v>27</v>
      </c>
    </row>
    <row r="13" spans="2:12" ht="17" thickBot="1" x14ac:dyDescent="0.25">
      <c r="B13" s="86" t="s">
        <v>120</v>
      </c>
      <c r="C13" s="86" t="s">
        <v>121</v>
      </c>
      <c r="D13" s="11">
        <v>12</v>
      </c>
      <c r="E13" s="2" t="s">
        <v>0</v>
      </c>
      <c r="F13" s="18">
        <v>12</v>
      </c>
      <c r="H13" s="1" t="s">
        <v>10</v>
      </c>
      <c r="I13" s="20">
        <f>SUM(J2)</f>
        <v>60</v>
      </c>
    </row>
    <row r="14" spans="2:12" ht="17" thickBot="1" x14ac:dyDescent="0.25">
      <c r="B14" s="86" t="s">
        <v>115</v>
      </c>
      <c r="C14" s="86" t="s">
        <v>112</v>
      </c>
      <c r="D14" s="11">
        <v>21</v>
      </c>
      <c r="E14" s="2" t="s">
        <v>0</v>
      </c>
      <c r="F14" s="18">
        <v>22</v>
      </c>
      <c r="H14" s="1" t="s">
        <v>16</v>
      </c>
      <c r="I14" s="87" t="s">
        <v>122</v>
      </c>
    </row>
    <row r="15" spans="2:12" ht="16" customHeight="1" x14ac:dyDescent="0.2">
      <c r="B15" s="86" t="s">
        <v>115</v>
      </c>
      <c r="C15" s="86" t="s">
        <v>121</v>
      </c>
      <c r="D15" s="11">
        <v>16</v>
      </c>
      <c r="E15" s="2" t="s">
        <v>0</v>
      </c>
      <c r="F15" s="18">
        <v>16</v>
      </c>
      <c r="I15" s="9"/>
      <c r="J15" s="9"/>
      <c r="K15" s="9"/>
      <c r="L15" s="9"/>
    </row>
    <row r="16" spans="2:12" x14ac:dyDescent="0.2">
      <c r="B16" s="86" t="s">
        <v>112</v>
      </c>
      <c r="C16" s="86" t="s">
        <v>121</v>
      </c>
      <c r="D16" s="11">
        <v>32</v>
      </c>
      <c r="E16" s="2" t="s">
        <v>0</v>
      </c>
      <c r="F16" s="18">
        <v>32</v>
      </c>
      <c r="I16" s="9"/>
      <c r="J16" s="9"/>
      <c r="K16" s="9"/>
      <c r="L16" s="9"/>
    </row>
    <row r="17" spans="2:12" ht="17" thickBot="1" x14ac:dyDescent="0.25">
      <c r="B17" s="86" t="s">
        <v>112</v>
      </c>
      <c r="C17" s="86" t="s">
        <v>115</v>
      </c>
      <c r="D17" s="12">
        <v>0</v>
      </c>
      <c r="E17" s="2" t="s">
        <v>0</v>
      </c>
      <c r="F17" s="19">
        <v>17</v>
      </c>
      <c r="I17" s="9"/>
      <c r="J17" s="9"/>
      <c r="K17" s="9"/>
      <c r="L17" s="9"/>
    </row>
    <row r="18" spans="2:12" x14ac:dyDescent="0.2">
      <c r="B18" s="2"/>
      <c r="C18" s="2"/>
      <c r="I18" s="4"/>
      <c r="J18" s="4"/>
      <c r="K18" s="4"/>
      <c r="L18" s="4"/>
    </row>
    <row r="19" spans="2:12" x14ac:dyDescent="0.2">
      <c r="I19" s="4"/>
      <c r="J19" s="4"/>
      <c r="K19" s="4"/>
      <c r="L19" s="4"/>
    </row>
    <row r="1000" spans="648:648" x14ac:dyDescent="0.2">
      <c r="XX1000" s="83">
        <v>82026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8166-6F2D-4288-A1F0-13481B8718BE}">
  <sheetPr>
    <pageSetUpPr fitToPage="1"/>
  </sheetPr>
  <dimension ref="B1:XX1000"/>
  <sheetViews>
    <sheetView workbookViewId="0">
      <selection activeCell="I16" sqref="I16"/>
    </sheetView>
  </sheetViews>
  <sheetFormatPr baseColWidth="10" defaultColWidth="12.5" defaultRowHeight="16" x14ac:dyDescent="0.2"/>
  <cols>
    <col min="1" max="4" width="12.5" style="1"/>
    <col min="5" max="5" width="4.6640625" style="1" customWidth="1"/>
    <col min="6" max="7" width="12.5" style="1"/>
    <col min="8" max="8" width="14.83203125" style="1" customWidth="1"/>
    <col min="9" max="10" width="12.5" style="1"/>
    <col min="11" max="11" width="7.33203125" style="1" customWidth="1"/>
    <col min="12" max="12" width="18.33203125" style="1" customWidth="1"/>
    <col min="13" max="16384" width="12.5" style="1"/>
  </cols>
  <sheetData>
    <row r="1" spans="2:12" ht="17" thickBot="1" x14ac:dyDescent="0.25">
      <c r="B1" s="3" t="s">
        <v>9</v>
      </c>
      <c r="C1" s="3" t="s">
        <v>8</v>
      </c>
      <c r="D1" s="3" t="s">
        <v>12</v>
      </c>
      <c r="E1" s="3"/>
      <c r="F1" s="3" t="s">
        <v>13</v>
      </c>
      <c r="I1" s="3" t="s">
        <v>5</v>
      </c>
      <c r="J1" s="3" t="s">
        <v>4</v>
      </c>
      <c r="K1" s="3"/>
      <c r="L1" s="3" t="s">
        <v>3</v>
      </c>
    </row>
    <row r="2" spans="2:12" x14ac:dyDescent="0.2">
      <c r="B2" s="1">
        <v>1</v>
      </c>
      <c r="C2" s="1">
        <v>2</v>
      </c>
      <c r="D2" s="21">
        <v>1</v>
      </c>
      <c r="F2" s="24">
        <v>2.5</v>
      </c>
      <c r="I2" s="1">
        <v>1</v>
      </c>
      <c r="J2" s="1">
        <f t="shared" ref="J2:J12" si="0">SUMIF(From,I2,OnRoute)-SUMIF(To,I2,OnRoute)</f>
        <v>1</v>
      </c>
      <c r="K2" s="2" t="s">
        <v>2</v>
      </c>
      <c r="L2" s="5">
        <v>1</v>
      </c>
    </row>
    <row r="3" spans="2:12" x14ac:dyDescent="0.2">
      <c r="B3" s="1">
        <v>1</v>
      </c>
      <c r="C3" s="1">
        <v>3</v>
      </c>
      <c r="D3" s="22">
        <v>0</v>
      </c>
      <c r="F3" s="25">
        <v>3</v>
      </c>
      <c r="I3" s="1">
        <v>2</v>
      </c>
      <c r="J3" s="1">
        <f t="shared" si="0"/>
        <v>0</v>
      </c>
      <c r="K3" s="2" t="s">
        <v>2</v>
      </c>
      <c r="L3" s="5">
        <v>0</v>
      </c>
    </row>
    <row r="4" spans="2:12" x14ac:dyDescent="0.2">
      <c r="B4" s="1">
        <v>2</v>
      </c>
      <c r="C4" s="1">
        <v>3</v>
      </c>
      <c r="D4" s="22">
        <v>0</v>
      </c>
      <c r="F4" s="26">
        <v>1.7</v>
      </c>
      <c r="I4" s="1">
        <v>3</v>
      </c>
      <c r="J4" s="1">
        <f t="shared" si="0"/>
        <v>0</v>
      </c>
      <c r="K4" s="2" t="s">
        <v>2</v>
      </c>
      <c r="L4" s="5">
        <v>0</v>
      </c>
    </row>
    <row r="5" spans="2:12" x14ac:dyDescent="0.2">
      <c r="B5" s="1">
        <v>2</v>
      </c>
      <c r="C5" s="1">
        <v>4</v>
      </c>
      <c r="D5" s="22">
        <v>1</v>
      </c>
      <c r="F5" s="25">
        <v>2.5</v>
      </c>
      <c r="I5" s="1">
        <v>4</v>
      </c>
      <c r="J5" s="1">
        <f t="shared" si="0"/>
        <v>0</v>
      </c>
      <c r="K5" s="2" t="s">
        <v>2</v>
      </c>
      <c r="L5" s="5">
        <v>0</v>
      </c>
    </row>
    <row r="6" spans="2:12" x14ac:dyDescent="0.2">
      <c r="B6" s="1">
        <v>3</v>
      </c>
      <c r="C6" s="1">
        <v>5</v>
      </c>
      <c r="D6" s="22">
        <v>0</v>
      </c>
      <c r="F6" s="25">
        <v>1.7</v>
      </c>
      <c r="I6" s="1">
        <v>5</v>
      </c>
      <c r="J6" s="1">
        <f t="shared" si="0"/>
        <v>0</v>
      </c>
      <c r="K6" s="2" t="s">
        <v>2</v>
      </c>
      <c r="L6" s="5">
        <v>0</v>
      </c>
    </row>
    <row r="7" spans="2:12" x14ac:dyDescent="0.2">
      <c r="B7" s="1">
        <v>3</v>
      </c>
      <c r="C7" s="1">
        <v>6</v>
      </c>
      <c r="D7" s="22">
        <v>0</v>
      </c>
      <c r="F7" s="26">
        <v>2.8</v>
      </c>
      <c r="I7" s="1">
        <v>6</v>
      </c>
      <c r="J7" s="1">
        <f t="shared" si="0"/>
        <v>0</v>
      </c>
      <c r="K7" s="2" t="s">
        <v>2</v>
      </c>
      <c r="L7" s="5">
        <v>0</v>
      </c>
    </row>
    <row r="8" spans="2:12" x14ac:dyDescent="0.2">
      <c r="B8" s="1">
        <v>4</v>
      </c>
      <c r="C8" s="1">
        <v>6</v>
      </c>
      <c r="D8" s="22">
        <v>0</v>
      </c>
      <c r="F8" s="25">
        <v>2</v>
      </c>
      <c r="I8" s="1">
        <v>7</v>
      </c>
      <c r="J8" s="1">
        <f t="shared" si="0"/>
        <v>0</v>
      </c>
      <c r="K8" s="2" t="s">
        <v>2</v>
      </c>
      <c r="L8" s="5">
        <v>0</v>
      </c>
    </row>
    <row r="9" spans="2:12" x14ac:dyDescent="0.2">
      <c r="B9" s="1">
        <v>4</v>
      </c>
      <c r="C9" s="1">
        <v>7</v>
      </c>
      <c r="D9" s="22">
        <v>1</v>
      </c>
      <c r="F9" s="25">
        <v>1.5</v>
      </c>
      <c r="I9" s="1">
        <v>8</v>
      </c>
      <c r="J9" s="1">
        <f t="shared" si="0"/>
        <v>0</v>
      </c>
      <c r="K9" s="2" t="s">
        <v>2</v>
      </c>
      <c r="L9" s="5">
        <v>0</v>
      </c>
    </row>
    <row r="10" spans="2:12" x14ac:dyDescent="0.2">
      <c r="B10" s="1">
        <v>5</v>
      </c>
      <c r="C10" s="1">
        <v>6</v>
      </c>
      <c r="D10" s="22">
        <v>0</v>
      </c>
      <c r="F10" s="25">
        <v>2</v>
      </c>
      <c r="I10" s="1">
        <v>9</v>
      </c>
      <c r="J10" s="1">
        <f t="shared" si="0"/>
        <v>0</v>
      </c>
      <c r="K10" s="2" t="s">
        <v>2</v>
      </c>
      <c r="L10" s="5">
        <v>0</v>
      </c>
    </row>
    <row r="11" spans="2:12" x14ac:dyDescent="0.2">
      <c r="B11" s="1">
        <v>5</v>
      </c>
      <c r="C11" s="1">
        <v>9</v>
      </c>
      <c r="D11" s="22">
        <v>0</v>
      </c>
      <c r="F11" s="25">
        <v>5</v>
      </c>
      <c r="I11" s="1">
        <v>10</v>
      </c>
      <c r="J11" s="1">
        <f t="shared" si="0"/>
        <v>0</v>
      </c>
      <c r="K11" s="2" t="s">
        <v>2</v>
      </c>
      <c r="L11" s="5">
        <v>0</v>
      </c>
    </row>
    <row r="12" spans="2:12" x14ac:dyDescent="0.2">
      <c r="B12" s="1">
        <v>6</v>
      </c>
      <c r="C12" s="1">
        <v>8</v>
      </c>
      <c r="D12" s="22">
        <v>0</v>
      </c>
      <c r="F12" s="25">
        <v>3</v>
      </c>
      <c r="I12" s="1">
        <v>11</v>
      </c>
      <c r="J12" s="1">
        <f t="shared" si="0"/>
        <v>-1</v>
      </c>
      <c r="K12" s="2" t="s">
        <v>2</v>
      </c>
      <c r="L12" s="5">
        <v>-1</v>
      </c>
    </row>
    <row r="13" spans="2:12" x14ac:dyDescent="0.2">
      <c r="B13" s="1">
        <v>6</v>
      </c>
      <c r="C13" s="1">
        <v>9</v>
      </c>
      <c r="D13" s="22">
        <v>0</v>
      </c>
      <c r="F13" s="25">
        <v>4.7</v>
      </c>
    </row>
    <row r="14" spans="2:12" x14ac:dyDescent="0.2">
      <c r="B14" s="1">
        <v>7</v>
      </c>
      <c r="C14" s="1">
        <v>8</v>
      </c>
      <c r="D14" s="22">
        <v>0</v>
      </c>
      <c r="F14" s="25">
        <v>1.5</v>
      </c>
    </row>
    <row r="15" spans="2:12" ht="17" thickBot="1" x14ac:dyDescent="0.25">
      <c r="B15" s="1">
        <v>7</v>
      </c>
      <c r="C15" s="1">
        <v>10</v>
      </c>
      <c r="D15" s="22">
        <v>1</v>
      </c>
      <c r="F15" s="25">
        <v>2.2999999999999998</v>
      </c>
    </row>
    <row r="16" spans="2:12" ht="17" thickBot="1" x14ac:dyDescent="0.25">
      <c r="B16" s="1">
        <v>8</v>
      </c>
      <c r="C16" s="1">
        <v>9</v>
      </c>
      <c r="D16" s="22">
        <v>0</v>
      </c>
      <c r="F16" s="25">
        <v>2</v>
      </c>
      <c r="H16" s="1" t="s">
        <v>14</v>
      </c>
      <c r="I16" s="8">
        <f>SUMPRODUCT(OnRoute,Distance)</f>
        <v>11.5</v>
      </c>
      <c r="J16" s="1" t="s">
        <v>15</v>
      </c>
    </row>
    <row r="17" spans="2:6" x14ac:dyDescent="0.2">
      <c r="B17" s="1">
        <v>8</v>
      </c>
      <c r="C17" s="1">
        <v>10</v>
      </c>
      <c r="D17" s="22">
        <v>0</v>
      </c>
      <c r="F17" s="25">
        <v>1.1000000000000001</v>
      </c>
    </row>
    <row r="18" spans="2:6" x14ac:dyDescent="0.2">
      <c r="B18" s="1">
        <v>9</v>
      </c>
      <c r="C18" s="1">
        <v>11</v>
      </c>
      <c r="D18" s="22">
        <v>0</v>
      </c>
      <c r="F18" s="25">
        <v>3.3</v>
      </c>
    </row>
    <row r="19" spans="2:6" ht="17" thickBot="1" x14ac:dyDescent="0.25">
      <c r="B19" s="1">
        <v>10</v>
      </c>
      <c r="C19" s="1">
        <v>11</v>
      </c>
      <c r="D19" s="23">
        <v>1</v>
      </c>
      <c r="F19" s="27">
        <v>2.7</v>
      </c>
    </row>
    <row r="1000" spans="648:648" x14ac:dyDescent="0.2">
      <c r="XX1000" s="83">
        <v>82026</v>
      </c>
    </row>
  </sheetData>
  <pageMargins left="0.25" right="0.25" top="0.75" bottom="0.75" header="0.3" footer="0.3"/>
  <pageSetup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22EF-D8C5-43EE-B94B-736EC761268C}">
  <sheetPr>
    <pageSetUpPr fitToPage="1"/>
  </sheetPr>
  <dimension ref="A1:XX1000"/>
  <sheetViews>
    <sheetView workbookViewId="0">
      <selection activeCell="C29" sqref="C29"/>
    </sheetView>
  </sheetViews>
  <sheetFormatPr baseColWidth="10" defaultColWidth="12.5" defaultRowHeight="13" x14ac:dyDescent="0.15"/>
  <cols>
    <col min="1" max="1" width="3.1640625" style="31" customWidth="1"/>
    <col min="2" max="2" width="15" style="29" customWidth="1"/>
    <col min="3" max="3" width="11" style="30" customWidth="1"/>
    <col min="4" max="4" width="20.5" style="31" customWidth="1"/>
    <col min="5" max="5" width="31.5" style="31" customWidth="1"/>
    <col min="6" max="6" width="29.33203125" style="31" hidden="1" customWidth="1"/>
    <col min="7" max="7" width="5.6640625" style="29" bestFit="1" customWidth="1"/>
    <col min="8" max="8" width="14" style="31" bestFit="1" customWidth="1"/>
    <col min="9" max="9" width="12.5" style="31" customWidth="1"/>
    <col min="10" max="16384" width="12.5" style="31"/>
  </cols>
  <sheetData>
    <row r="1" spans="1:9" ht="18" x14ac:dyDescent="0.2">
      <c r="A1" s="28"/>
    </row>
    <row r="3" spans="1:9" ht="14" thickBot="1" x14ac:dyDescent="0.2">
      <c r="C3" s="32" t="s">
        <v>17</v>
      </c>
      <c r="H3" s="33" t="s">
        <v>18</v>
      </c>
    </row>
    <row r="4" spans="1:9" x14ac:dyDescent="0.15">
      <c r="B4" s="34" t="s">
        <v>19</v>
      </c>
      <c r="C4" s="35">
        <v>300</v>
      </c>
      <c r="D4" s="31" t="s">
        <v>20</v>
      </c>
      <c r="F4" s="36">
        <f t="shared" ref="F4:F29" si="0">IF(G13&lt;=s-1,((Lambda/Mu)^G13)/FACT(G13),0)</f>
        <v>1</v>
      </c>
      <c r="G4" s="37" t="s">
        <v>21</v>
      </c>
      <c r="H4" s="38">
        <f>IF(Rho&lt;1,Lq+Lambda/Mu,NA())</f>
        <v>6.0112359550561791</v>
      </c>
    </row>
    <row r="5" spans="1:9" ht="15" x14ac:dyDescent="0.2">
      <c r="B5" s="34" t="s">
        <v>22</v>
      </c>
      <c r="C5" s="35">
        <v>120</v>
      </c>
      <c r="D5" s="31" t="s">
        <v>23</v>
      </c>
      <c r="F5" s="36">
        <f t="shared" si="0"/>
        <v>2.5</v>
      </c>
      <c r="G5" s="37" t="s">
        <v>24</v>
      </c>
      <c r="H5" s="39">
        <f>IF(Rho&lt;1,Lambda*Mu*((Lambda/Mu)^s)/(FACT(s-1)*(s*Mu-Lambda)^2/P0),NA())</f>
        <v>3.5112359550561791</v>
      </c>
    </row>
    <row r="6" spans="1:9" x14ac:dyDescent="0.15">
      <c r="B6" s="29" t="s">
        <v>25</v>
      </c>
      <c r="C6" s="35">
        <v>3</v>
      </c>
      <c r="D6" s="31" t="s">
        <v>26</v>
      </c>
      <c r="F6" s="36">
        <f t="shared" si="0"/>
        <v>3.125</v>
      </c>
      <c r="G6" s="37"/>
      <c r="H6" s="39"/>
      <c r="I6" s="40"/>
    </row>
    <row r="7" spans="1:9" ht="14" thickBot="1" x14ac:dyDescent="0.2">
      <c r="F7" s="36">
        <f t="shared" si="0"/>
        <v>0</v>
      </c>
      <c r="G7" s="37" t="s">
        <v>27</v>
      </c>
      <c r="H7" s="39">
        <f>IF(Rho&lt;1,L/Lambda,NA())</f>
        <v>2.0037453183520598E-2</v>
      </c>
      <c r="I7" s="30"/>
    </row>
    <row r="8" spans="1:9" ht="16" thickBot="1" x14ac:dyDescent="0.25">
      <c r="B8" s="37" t="s">
        <v>28</v>
      </c>
      <c r="C8" s="41">
        <f>IF((s-1-Lambda/Mu)=0,EXP(-Mu*C9)*(1+P0*((Lambda/Mu)^s)/(FACT(s)*(1-Rho))*Mu*C9),EXP(-Mu*C9)*(1+P0*((Lambda/Mu)^s)/(FACT(s)*(1-Rho))*(1-EXP(-Mu*C9*(s-1-Lambda/Mu)))/(s-1-Lambda/Mu)))</f>
        <v>1.2298470172326573E-26</v>
      </c>
      <c r="F8" s="36">
        <f t="shared" si="0"/>
        <v>0</v>
      </c>
      <c r="G8" s="37" t="s">
        <v>29</v>
      </c>
      <c r="H8" s="39">
        <f>IF(Rho&lt;1,Lq/Lambda,NA())</f>
        <v>1.1704119850187263E-2</v>
      </c>
      <c r="I8" s="30"/>
    </row>
    <row r="9" spans="1:9" x14ac:dyDescent="0.15">
      <c r="B9" s="29" t="s">
        <v>30</v>
      </c>
      <c r="C9" s="35">
        <v>1</v>
      </c>
      <c r="E9" s="42"/>
      <c r="F9" s="36">
        <f t="shared" si="0"/>
        <v>0</v>
      </c>
      <c r="G9" s="37"/>
      <c r="H9" s="39"/>
    </row>
    <row r="10" spans="1:9" ht="14" thickBot="1" x14ac:dyDescent="0.2">
      <c r="E10" s="43"/>
      <c r="F10" s="36">
        <f t="shared" si="0"/>
        <v>0</v>
      </c>
      <c r="G10" s="44" t="s">
        <v>31</v>
      </c>
      <c r="H10" s="45">
        <f>Lambda/(s*Mu)</f>
        <v>0.83333333333333337</v>
      </c>
    </row>
    <row r="11" spans="1:9" ht="16" thickBot="1" x14ac:dyDescent="0.25">
      <c r="B11" s="37" t="s">
        <v>32</v>
      </c>
      <c r="C11" s="41">
        <f ca="1">(1-SUM(OFFSET(P0,0,0,s,1)))*EXP(-s*Mu*(1-Rho)*C12)</f>
        <v>6.1492350861633747E-27</v>
      </c>
      <c r="F11" s="36">
        <f t="shared" si="0"/>
        <v>0</v>
      </c>
    </row>
    <row r="12" spans="1:9" ht="16" thickBot="1" x14ac:dyDescent="0.25">
      <c r="B12" s="29" t="s">
        <v>30</v>
      </c>
      <c r="C12" s="35">
        <v>1</v>
      </c>
      <c r="F12" s="36">
        <f t="shared" si="0"/>
        <v>0</v>
      </c>
      <c r="G12" s="37" t="s">
        <v>33</v>
      </c>
      <c r="H12" s="46" t="s">
        <v>34</v>
      </c>
    </row>
    <row r="13" spans="1:9" x14ac:dyDescent="0.15">
      <c r="F13" s="36">
        <f t="shared" si="0"/>
        <v>0</v>
      </c>
      <c r="G13" s="37">
        <v>0</v>
      </c>
      <c r="H13" s="38">
        <f>IF(Rho&lt;1,1/(SUM(F4:F29)+((Lambda/Mu)^s)/(FACT(s)*(1-Lambda/(s*Mu)))),NA())</f>
        <v>4.4943820224719093E-2</v>
      </c>
    </row>
    <row r="14" spans="1:9" x14ac:dyDescent="0.15">
      <c r="B14" s="31"/>
      <c r="C14" s="31"/>
      <c r="F14" s="36">
        <f t="shared" si="0"/>
        <v>0</v>
      </c>
      <c r="G14" s="37">
        <v>1</v>
      </c>
      <c r="H14" s="39">
        <f t="shared" ref="H14:H38" si="1">IF(Rho&lt;1,IF(s=1,(1-Rho)*Rho^n,IF(s&gt;=n,((Lambda/Mu)^n)*P0/FACT(n),((Lambda/Mu)^n)*P0/(FACT(s)*(s^(n-s))))),NA())</f>
        <v>0.11235955056179774</v>
      </c>
    </row>
    <row r="15" spans="1:9" x14ac:dyDescent="0.15">
      <c r="B15" s="31"/>
      <c r="C15" s="31"/>
      <c r="F15" s="36">
        <f t="shared" si="0"/>
        <v>0</v>
      </c>
      <c r="G15" s="37">
        <v>2</v>
      </c>
      <c r="H15" s="39">
        <f t="shared" si="1"/>
        <v>0.14044943820224717</v>
      </c>
    </row>
    <row r="16" spans="1:9" x14ac:dyDescent="0.15">
      <c r="B16" s="31"/>
      <c r="C16" s="31"/>
      <c r="F16" s="36">
        <f t="shared" si="0"/>
        <v>0</v>
      </c>
      <c r="G16" s="37">
        <v>3</v>
      </c>
      <c r="H16" s="39">
        <f t="shared" si="1"/>
        <v>0.11704119850187263</v>
      </c>
    </row>
    <row r="17" spans="2:8" x14ac:dyDescent="0.15">
      <c r="B17" s="31"/>
      <c r="C17" s="31"/>
      <c r="F17" s="36">
        <f t="shared" si="0"/>
        <v>0</v>
      </c>
      <c r="G17" s="37">
        <v>4</v>
      </c>
      <c r="H17" s="39">
        <f t="shared" si="1"/>
        <v>9.7534332084893871E-2</v>
      </c>
    </row>
    <row r="18" spans="2:8" x14ac:dyDescent="0.15">
      <c r="B18" s="31"/>
      <c r="F18" s="36">
        <f t="shared" si="0"/>
        <v>0</v>
      </c>
      <c r="G18" s="37">
        <v>5</v>
      </c>
      <c r="H18" s="39">
        <f t="shared" si="1"/>
        <v>8.1278610070744883E-2</v>
      </c>
    </row>
    <row r="19" spans="2:8" x14ac:dyDescent="0.15">
      <c r="B19" s="31"/>
      <c r="F19" s="36">
        <f t="shared" si="0"/>
        <v>0</v>
      </c>
      <c r="G19" s="37">
        <v>6</v>
      </c>
      <c r="H19" s="39">
        <f t="shared" si="1"/>
        <v>6.7732175058954069E-2</v>
      </c>
    </row>
    <row r="20" spans="2:8" x14ac:dyDescent="0.15">
      <c r="B20" s="31"/>
      <c r="F20" s="36">
        <f t="shared" si="0"/>
        <v>0</v>
      </c>
      <c r="G20" s="37">
        <v>7</v>
      </c>
      <c r="H20" s="39">
        <f t="shared" si="1"/>
        <v>5.644347921579506E-2</v>
      </c>
    </row>
    <row r="21" spans="2:8" x14ac:dyDescent="0.15">
      <c r="F21" s="36">
        <f t="shared" si="0"/>
        <v>0</v>
      </c>
      <c r="G21" s="37">
        <v>8</v>
      </c>
      <c r="H21" s="39">
        <f t="shared" si="1"/>
        <v>4.7036232679829218E-2</v>
      </c>
    </row>
    <row r="22" spans="2:8" x14ac:dyDescent="0.15">
      <c r="F22" s="36">
        <f t="shared" si="0"/>
        <v>0</v>
      </c>
      <c r="G22" s="37">
        <v>9</v>
      </c>
      <c r="H22" s="39">
        <f t="shared" si="1"/>
        <v>3.9196860566524348E-2</v>
      </c>
    </row>
    <row r="23" spans="2:8" x14ac:dyDescent="0.15">
      <c r="F23" s="36">
        <f t="shared" si="0"/>
        <v>0</v>
      </c>
      <c r="G23" s="37">
        <v>10</v>
      </c>
      <c r="H23" s="39">
        <f t="shared" si="1"/>
        <v>3.2664050472103627E-2</v>
      </c>
    </row>
    <row r="24" spans="2:8" x14ac:dyDescent="0.15">
      <c r="C24" s="30" t="s">
        <v>35</v>
      </c>
      <c r="F24" s="36">
        <f t="shared" si="0"/>
        <v>0</v>
      </c>
      <c r="G24" s="37">
        <v>11</v>
      </c>
      <c r="H24" s="39">
        <f t="shared" si="1"/>
        <v>2.7220042060086352E-2</v>
      </c>
    </row>
    <row r="25" spans="2:8" x14ac:dyDescent="0.15">
      <c r="B25" s="29" t="s">
        <v>36</v>
      </c>
      <c r="C25" s="47">
        <f>Rho</f>
        <v>0.83333333333333337</v>
      </c>
      <c r="D25" s="31" t="s">
        <v>37</v>
      </c>
      <c r="F25" s="36">
        <f t="shared" si="0"/>
        <v>0</v>
      </c>
      <c r="G25" s="37">
        <v>12</v>
      </c>
      <c r="H25" s="39">
        <f t="shared" si="1"/>
        <v>2.2683368383405293E-2</v>
      </c>
    </row>
    <row r="26" spans="2:8" x14ac:dyDescent="0.15">
      <c r="B26" s="29" t="s">
        <v>38</v>
      </c>
      <c r="C26" s="47">
        <f>W*60</f>
        <v>1.202247191011236</v>
      </c>
      <c r="D26" s="31" t="s">
        <v>39</v>
      </c>
      <c r="F26" s="36">
        <f t="shared" si="0"/>
        <v>0</v>
      </c>
      <c r="G26" s="37">
        <v>13</v>
      </c>
      <c r="H26" s="39">
        <f t="shared" si="1"/>
        <v>1.8902806986171077E-2</v>
      </c>
    </row>
    <row r="27" spans="2:8" x14ac:dyDescent="0.15">
      <c r="B27" s="29" t="s">
        <v>40</v>
      </c>
      <c r="C27" s="47">
        <f>Wq*60</f>
        <v>0.70224719101123578</v>
      </c>
      <c r="D27" s="31" t="s">
        <v>41</v>
      </c>
      <c r="F27" s="36">
        <f t="shared" si="0"/>
        <v>0</v>
      </c>
      <c r="G27" s="37">
        <v>14</v>
      </c>
      <c r="H27" s="39">
        <f t="shared" si="1"/>
        <v>1.5752339155142566E-2</v>
      </c>
    </row>
    <row r="28" spans="2:8" x14ac:dyDescent="0.15">
      <c r="B28" s="29" t="s">
        <v>42</v>
      </c>
      <c r="C28" s="47">
        <f>H15</f>
        <v>0.14044943820224717</v>
      </c>
      <c r="D28" s="31" t="s">
        <v>43</v>
      </c>
      <c r="F28" s="36">
        <f t="shared" si="0"/>
        <v>0</v>
      </c>
      <c r="G28" s="37">
        <v>15</v>
      </c>
      <c r="H28" s="39">
        <f t="shared" si="1"/>
        <v>1.3126949295952138E-2</v>
      </c>
    </row>
    <row r="29" spans="2:8" x14ac:dyDescent="0.15">
      <c r="F29" s="36">
        <f t="shared" si="0"/>
        <v>0</v>
      </c>
      <c r="G29" s="37">
        <v>16</v>
      </c>
      <c r="H29" s="39">
        <f t="shared" si="1"/>
        <v>1.0939124413293448E-2</v>
      </c>
    </row>
    <row r="30" spans="2:8" x14ac:dyDescent="0.15">
      <c r="G30" s="37">
        <v>17</v>
      </c>
      <c r="H30" s="39">
        <f t="shared" si="1"/>
        <v>9.115937011077874E-3</v>
      </c>
    </row>
    <row r="31" spans="2:8" x14ac:dyDescent="0.15">
      <c r="G31" s="37">
        <v>18</v>
      </c>
      <c r="H31" s="39">
        <f t="shared" si="1"/>
        <v>7.5966141758982281E-3</v>
      </c>
    </row>
    <row r="32" spans="2:8" x14ac:dyDescent="0.15">
      <c r="G32" s="37">
        <v>19</v>
      </c>
      <c r="H32" s="39">
        <f t="shared" si="1"/>
        <v>6.3305118132485228E-3</v>
      </c>
    </row>
    <row r="33" spans="7:8" x14ac:dyDescent="0.15">
      <c r="G33" s="37">
        <v>20</v>
      </c>
      <c r="H33" s="39">
        <f t="shared" si="1"/>
        <v>5.2754265110404363E-3</v>
      </c>
    </row>
    <row r="34" spans="7:8" x14ac:dyDescent="0.15">
      <c r="G34" s="37">
        <v>21</v>
      </c>
      <c r="H34" s="39">
        <f t="shared" si="1"/>
        <v>4.3961887592003637E-3</v>
      </c>
    </row>
    <row r="35" spans="7:8" x14ac:dyDescent="0.15">
      <c r="G35" s="37">
        <v>22</v>
      </c>
      <c r="H35" s="39">
        <f t="shared" si="1"/>
        <v>3.6634906326669693E-3</v>
      </c>
    </row>
    <row r="36" spans="7:8" x14ac:dyDescent="0.15">
      <c r="G36" s="37">
        <v>23</v>
      </c>
      <c r="H36" s="39">
        <f t="shared" si="1"/>
        <v>3.0529088605558076E-3</v>
      </c>
    </row>
    <row r="37" spans="7:8" x14ac:dyDescent="0.15">
      <c r="G37" s="37">
        <v>24</v>
      </c>
      <c r="H37" s="39">
        <f t="shared" si="1"/>
        <v>2.54409071712984E-3</v>
      </c>
    </row>
    <row r="38" spans="7:8" ht="14" thickBot="1" x14ac:dyDescent="0.2">
      <c r="G38" s="37">
        <v>25</v>
      </c>
      <c r="H38" s="45">
        <f t="shared" si="1"/>
        <v>2.1200755976082002E-3</v>
      </c>
    </row>
    <row r="1000" spans="648:648" ht="16" x14ac:dyDescent="0.2">
      <c r="XX1000" s="83">
        <v>82026</v>
      </c>
    </row>
  </sheetData>
  <dataConsolidate/>
  <dataValidations count="5">
    <dataValidation type="decimal" operator="greaterThan" allowBlank="1" showInputMessage="1" showErrorMessage="1" error="The mean service rate must be greater than zero." sqref="C5" xr:uid="{6A793E20-EB49-4595-ABBE-A0C46F58F999}">
      <formula1>0</formula1>
    </dataValidation>
    <dataValidation type="decimal" operator="greaterThan" allowBlank="1" showInputMessage="1" showErrorMessage="1" error="The mean arrival rate must be greater than zero." sqref="C4" xr:uid="{1E29AD73-4273-482D-B895-41342E7268E1}">
      <formula1>0</formula1>
    </dataValidation>
    <dataValidation type="whole" allowBlank="1" showInputMessage="1" showErrorMessage="1" error="The number of servers must be an integer between 1 and 25 (inclusive)." sqref="C6" xr:uid="{8ED8398A-7D07-4FE8-A23C-F6925A4D3574}">
      <formula1>1</formula1>
      <formula2>25</formula2>
    </dataValidation>
    <dataValidation type="decimal" operator="greaterThanOrEqual" allowBlank="1" showInputMessage="1" showErrorMessage="1" error="t must be greater than or equal to 0." sqref="C12" xr:uid="{27F509BE-35BE-4066-9AED-D2291113F52F}">
      <formula1>0</formula1>
    </dataValidation>
    <dataValidation type="decimal" operator="greaterThanOrEqual" allowBlank="1" showInputMessage="1" showErrorMessage="1" errorTitle="Warning" error="t must be greater than or equal to 0." sqref="C9" xr:uid="{95C5BEAF-DA20-483B-A17B-A47B8FB9C338}">
      <formula1>0</formula1>
    </dataValidation>
  </dataValidations>
  <printOptions headings="1" gridLines="1"/>
  <pageMargins left="0.75" right="0.75" top="1" bottom="1" header="0.5" footer="0.5"/>
  <pageSetup paperSize="0" scale="81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30D9-2C8C-495C-BE6F-D9D2EB453846}">
  <sheetPr>
    <pageSetUpPr fitToPage="1"/>
  </sheetPr>
  <dimension ref="A1:XX1000"/>
  <sheetViews>
    <sheetView tabSelected="1" workbookViewId="0">
      <selection activeCell="B17" sqref="B17"/>
    </sheetView>
  </sheetViews>
  <sheetFormatPr baseColWidth="10" defaultColWidth="7.5" defaultRowHeight="13" x14ac:dyDescent="0.15"/>
  <cols>
    <col min="1" max="1" width="24.1640625" style="48" bestFit="1" customWidth="1"/>
    <col min="2" max="2" width="10.33203125" style="48" customWidth="1"/>
    <col min="3" max="3" width="16.1640625" style="48" customWidth="1"/>
    <col min="4" max="4" width="11.6640625" style="48" bestFit="1" customWidth="1"/>
    <col min="5" max="10" width="9.1640625" style="48" customWidth="1"/>
    <col min="11" max="11" width="10" style="48" bestFit="1" customWidth="1"/>
    <col min="12" max="12" width="8.5" style="48" bestFit="1" customWidth="1"/>
    <col min="13" max="14" width="9.1640625" style="48" customWidth="1"/>
    <col min="15" max="15" width="11.83203125" style="48" customWidth="1"/>
    <col min="16" max="16" width="21.33203125" style="48" customWidth="1"/>
    <col min="17" max="17" width="18.83203125" style="48" customWidth="1"/>
    <col min="18" max="18" width="10.1640625" style="48" customWidth="1"/>
    <col min="19" max="19" width="7.83203125" style="48" customWidth="1"/>
    <col min="20" max="21" width="5.33203125" style="48" bestFit="1" customWidth="1"/>
    <col min="22" max="22" width="6.1640625" style="48" bestFit="1" customWidth="1"/>
    <col min="23" max="16384" width="7.5" style="48"/>
  </cols>
  <sheetData>
    <row r="1" spans="1:18" x14ac:dyDescent="0.15">
      <c r="B1" s="49" t="s">
        <v>44</v>
      </c>
      <c r="G1" s="49" t="s">
        <v>45</v>
      </c>
    </row>
    <row r="2" spans="1:18" x14ac:dyDescent="0.15">
      <c r="A2" s="50" t="s">
        <v>46</v>
      </c>
      <c r="B2" s="51">
        <v>12</v>
      </c>
      <c r="C2" s="52"/>
      <c r="F2" s="50" t="s">
        <v>47</v>
      </c>
      <c r="G2" s="53">
        <v>5.2499999999999998E-2</v>
      </c>
    </row>
    <row r="3" spans="1:18" x14ac:dyDescent="0.15">
      <c r="A3" s="50" t="s">
        <v>48</v>
      </c>
      <c r="B3" s="51">
        <v>6000</v>
      </c>
      <c r="C3" s="54"/>
      <c r="F3" s="50" t="s">
        <v>49</v>
      </c>
      <c r="G3" s="53">
        <v>0.02</v>
      </c>
    </row>
    <row r="4" spans="1:18" x14ac:dyDescent="0.15">
      <c r="A4" s="50" t="s">
        <v>50</v>
      </c>
      <c r="B4" s="51">
        <v>12500</v>
      </c>
      <c r="C4" s="54"/>
      <c r="F4" s="50" t="s">
        <v>51</v>
      </c>
      <c r="G4" s="53">
        <v>9.2499999999999999E-2</v>
      </c>
    </row>
    <row r="5" spans="1:18" x14ac:dyDescent="0.15">
      <c r="A5" s="50" t="s">
        <v>52</v>
      </c>
      <c r="B5" s="51">
        <v>20000</v>
      </c>
      <c r="C5" s="54"/>
      <c r="F5" s="50" t="s">
        <v>53</v>
      </c>
      <c r="G5" s="53">
        <v>-0.02</v>
      </c>
    </row>
    <row r="6" spans="1:18" x14ac:dyDescent="0.15">
      <c r="A6" s="50" t="s">
        <v>54</v>
      </c>
      <c r="B6" s="51">
        <v>25000</v>
      </c>
      <c r="C6" s="54"/>
      <c r="F6" s="50" t="s">
        <v>55</v>
      </c>
      <c r="G6" s="53">
        <v>0.02</v>
      </c>
    </row>
    <row r="7" spans="1:18" x14ac:dyDescent="0.15">
      <c r="C7" s="54"/>
    </row>
    <row r="8" spans="1:18" x14ac:dyDescent="0.15">
      <c r="A8" s="55" t="s">
        <v>56</v>
      </c>
      <c r="B8" s="48" t="s">
        <v>57</v>
      </c>
      <c r="C8" s="52" t="s">
        <v>58</v>
      </c>
      <c r="D8" s="54" t="s">
        <v>59</v>
      </c>
      <c r="E8" s="48" t="s">
        <v>60</v>
      </c>
      <c r="F8" s="48" t="s">
        <v>61</v>
      </c>
      <c r="G8" s="48" t="s">
        <v>62</v>
      </c>
      <c r="H8" s="48" t="s">
        <v>63</v>
      </c>
      <c r="I8" s="48" t="s">
        <v>64</v>
      </c>
      <c r="J8" s="48" t="s">
        <v>65</v>
      </c>
      <c r="K8" s="48" t="s">
        <v>66</v>
      </c>
      <c r="L8" s="48" t="s">
        <v>67</v>
      </c>
      <c r="M8" s="48" t="s">
        <v>68</v>
      </c>
      <c r="N8" s="48" t="s">
        <v>57</v>
      </c>
    </row>
    <row r="9" spans="1:18" x14ac:dyDescent="0.15">
      <c r="A9" s="50" t="s">
        <v>69</v>
      </c>
      <c r="B9" s="56">
        <v>1.18</v>
      </c>
      <c r="C9" s="56">
        <v>0.82</v>
      </c>
      <c r="D9" s="56">
        <v>0.88</v>
      </c>
      <c r="E9" s="56">
        <v>0.97</v>
      </c>
      <c r="F9" s="56">
        <v>1.05</v>
      </c>
      <c r="G9" s="56">
        <v>1.1100000000000001</v>
      </c>
      <c r="H9" s="56">
        <v>0.87</v>
      </c>
      <c r="I9" s="56">
        <v>0.79</v>
      </c>
      <c r="J9" s="56">
        <v>0.98</v>
      </c>
      <c r="K9" s="56">
        <v>1.06</v>
      </c>
      <c r="L9" s="56">
        <v>1.1200000000000001</v>
      </c>
      <c r="M9" s="56">
        <v>1.1599999999999999</v>
      </c>
      <c r="N9" s="56">
        <v>1.18</v>
      </c>
    </row>
    <row r="10" spans="1:18" x14ac:dyDescent="0.15">
      <c r="A10" s="50" t="s">
        <v>70</v>
      </c>
      <c r="B10" s="57">
        <v>6000</v>
      </c>
      <c r="C10" s="58">
        <f ca="1">_xlfn.NORM.INV(RAND(),B10,$Q$10)</f>
        <v>5188.8683322451598</v>
      </c>
      <c r="D10" s="58">
        <f ca="1">_xlfn.NORM.INV(RAND(),C10,$Q$10)</f>
        <v>5248.6107736444892</v>
      </c>
      <c r="E10" s="58">
        <f ca="1">_xlfn.NORM.INV(RAND(),D10,$Q$10)</f>
        <v>6103.4743709174872</v>
      </c>
      <c r="F10" s="58">
        <f t="shared" ref="F10:N10" ca="1" si="0">_xlfn.NORM.INV(RAND(),E10,$Q$10)</f>
        <v>5910.7935770290551</v>
      </c>
      <c r="G10" s="58">
        <f t="shared" ca="1" si="0"/>
        <v>5237.1038630432058</v>
      </c>
      <c r="H10" s="58">
        <f t="shared" ca="1" si="0"/>
        <v>4728.428054224426</v>
      </c>
      <c r="I10" s="58">
        <f t="shared" ca="1" si="0"/>
        <v>5202.6924846585598</v>
      </c>
      <c r="J10" s="58">
        <f t="shared" ca="1" si="0"/>
        <v>4414.7294267965417</v>
      </c>
      <c r="K10" s="58">
        <f t="shared" ca="1" si="0"/>
        <v>3795.5249890524333</v>
      </c>
      <c r="L10" s="58">
        <f t="shared" ca="1" si="0"/>
        <v>3508.262481267891</v>
      </c>
      <c r="M10" s="58">
        <f t="shared" ca="1" si="0"/>
        <v>3861.1053793788719</v>
      </c>
      <c r="N10" s="58">
        <f t="shared" ca="1" si="0"/>
        <v>3469.4745724017857</v>
      </c>
      <c r="O10" s="59" t="s">
        <v>71</v>
      </c>
      <c r="P10" s="56" t="s">
        <v>72</v>
      </c>
      <c r="Q10" s="56">
        <v>500</v>
      </c>
    </row>
    <row r="11" spans="1:18" x14ac:dyDescent="0.15">
      <c r="A11" s="50" t="s">
        <v>73</v>
      </c>
      <c r="B11" s="60">
        <f>B9*B10</f>
        <v>7080</v>
      </c>
      <c r="C11" s="60">
        <f t="shared" ref="C11:N11" ca="1" si="1">C9*C10</f>
        <v>4254.8720324410306</v>
      </c>
      <c r="D11" s="60">
        <f t="shared" ca="1" si="1"/>
        <v>4618.7774808071508</v>
      </c>
      <c r="E11" s="60">
        <f t="shared" ca="1" si="1"/>
        <v>5920.3701397899622</v>
      </c>
      <c r="F11" s="60">
        <f t="shared" ca="1" si="1"/>
        <v>6206.3332558805077</v>
      </c>
      <c r="G11" s="60">
        <f t="shared" ca="1" si="1"/>
        <v>5813.185287977959</v>
      </c>
      <c r="H11" s="60">
        <f t="shared" ca="1" si="1"/>
        <v>4113.732407175251</v>
      </c>
      <c r="I11" s="60">
        <f t="shared" ca="1" si="1"/>
        <v>4110.1270628802622</v>
      </c>
      <c r="J11" s="60">
        <f t="shared" ca="1" si="1"/>
        <v>4326.4348382606104</v>
      </c>
      <c r="K11" s="60">
        <f t="shared" ca="1" si="1"/>
        <v>4023.2564883955797</v>
      </c>
      <c r="L11" s="60">
        <f t="shared" ca="1" si="1"/>
        <v>3929.2539790200381</v>
      </c>
      <c r="M11" s="60">
        <f t="shared" ca="1" si="1"/>
        <v>4478.8822400794916</v>
      </c>
      <c r="N11" s="60">
        <f t="shared" ca="1" si="1"/>
        <v>4093.979995434107</v>
      </c>
    </row>
    <row r="12" spans="1:18" x14ac:dyDescent="0.15">
      <c r="A12" s="50" t="s">
        <v>74</v>
      </c>
      <c r="B12" s="54"/>
      <c r="C12" s="61">
        <f t="shared" ref="C12:N12" ca="1" si="2">$P$12+($Q$12-$P$12)*RAND()</f>
        <v>0.36320171901665299</v>
      </c>
      <c r="D12" s="61">
        <f t="shared" ca="1" si="2"/>
        <v>0.37911325329188694</v>
      </c>
      <c r="E12" s="61">
        <f t="shared" ca="1" si="2"/>
        <v>0.44261349432398123</v>
      </c>
      <c r="F12" s="61">
        <f t="shared" ca="1" si="2"/>
        <v>0.41598256481410978</v>
      </c>
      <c r="G12" s="61">
        <f t="shared" ca="1" si="2"/>
        <v>0.44260576248503752</v>
      </c>
      <c r="H12" s="61">
        <f t="shared" ca="1" si="2"/>
        <v>0.40775306820740448</v>
      </c>
      <c r="I12" s="61">
        <f t="shared" ca="1" si="2"/>
        <v>0.42785373269126176</v>
      </c>
      <c r="J12" s="61">
        <f t="shared" ca="1" si="2"/>
        <v>0.43700041306423337</v>
      </c>
      <c r="K12" s="61">
        <f t="shared" ca="1" si="2"/>
        <v>0.38809643332650873</v>
      </c>
      <c r="L12" s="61">
        <f t="shared" ca="1" si="2"/>
        <v>0.43477053862981285</v>
      </c>
      <c r="M12" s="61">
        <f t="shared" ca="1" si="2"/>
        <v>0.42140488440536406</v>
      </c>
      <c r="N12" s="61">
        <f t="shared" ca="1" si="2"/>
        <v>0.37670157272712773</v>
      </c>
      <c r="O12" s="59" t="s">
        <v>75</v>
      </c>
      <c r="P12" s="62">
        <v>0.35</v>
      </c>
      <c r="Q12" s="62">
        <v>0.45</v>
      </c>
    </row>
    <row r="13" spans="1:18" x14ac:dyDescent="0.15">
      <c r="A13" s="50"/>
    </row>
    <row r="14" spans="1:18" x14ac:dyDescent="0.15">
      <c r="A14" s="55" t="s">
        <v>76</v>
      </c>
      <c r="O14" s="63" t="s">
        <v>77</v>
      </c>
      <c r="P14" s="63" t="s">
        <v>78</v>
      </c>
      <c r="Q14" s="63" t="s">
        <v>79</v>
      </c>
      <c r="R14" s="63" t="s">
        <v>80</v>
      </c>
    </row>
    <row r="15" spans="1:18" x14ac:dyDescent="0.15">
      <c r="A15" s="50" t="s">
        <v>81</v>
      </c>
      <c r="C15" s="64">
        <f ca="1">VLOOKUP(RAND(),$O$15:$Q$19,3,TRUE)</f>
        <v>2.5000000000000001E-3</v>
      </c>
      <c r="D15" s="64">
        <f t="shared" ref="D15:N15" ca="1" si="3">VLOOKUP(RAND(),$O$15:$Q$19,3,TRUE)</f>
        <v>0</v>
      </c>
      <c r="E15" s="64">
        <f t="shared" ca="1" si="3"/>
        <v>0</v>
      </c>
      <c r="F15" s="64">
        <f t="shared" ca="1" si="3"/>
        <v>2.5000000000000001E-3</v>
      </c>
      <c r="G15" s="64">
        <f t="shared" ca="1" si="3"/>
        <v>5.0000000000000001E-3</v>
      </c>
      <c r="H15" s="64">
        <f t="shared" ca="1" si="3"/>
        <v>0</v>
      </c>
      <c r="I15" s="64">
        <f t="shared" ca="1" si="3"/>
        <v>5.0000000000000001E-3</v>
      </c>
      <c r="J15" s="64">
        <f t="shared" ca="1" si="3"/>
        <v>0</v>
      </c>
      <c r="K15" s="64">
        <f t="shared" ca="1" si="3"/>
        <v>0</v>
      </c>
      <c r="L15" s="64">
        <f t="shared" ca="1" si="3"/>
        <v>-2.5000000000000001E-3</v>
      </c>
      <c r="M15" s="64">
        <f t="shared" ca="1" si="3"/>
        <v>2.5000000000000001E-3</v>
      </c>
      <c r="N15" s="64">
        <f t="shared" ca="1" si="3"/>
        <v>2.5000000000000001E-3</v>
      </c>
      <c r="O15" s="65">
        <v>0</v>
      </c>
      <c r="P15" s="65">
        <f>O15+R15</f>
        <v>0.1</v>
      </c>
      <c r="Q15" s="66">
        <v>-5.0000000000000001E-3</v>
      </c>
      <c r="R15" s="65">
        <v>0.1</v>
      </c>
    </row>
    <row r="16" spans="1:18" x14ac:dyDescent="0.15">
      <c r="A16" s="50" t="s">
        <v>82</v>
      </c>
      <c r="B16" s="67">
        <v>0</v>
      </c>
      <c r="C16" s="67">
        <f ca="1">B16+C15</f>
        <v>2.5000000000000001E-3</v>
      </c>
      <c r="D16" s="67">
        <f ca="1">C16+D15</f>
        <v>2.5000000000000001E-3</v>
      </c>
      <c r="E16" s="67">
        <f t="shared" ref="E16:N16" ca="1" si="4">D16+E15</f>
        <v>2.5000000000000001E-3</v>
      </c>
      <c r="F16" s="67">
        <f t="shared" ca="1" si="4"/>
        <v>5.0000000000000001E-3</v>
      </c>
      <c r="G16" s="67">
        <f t="shared" ca="1" si="4"/>
        <v>0.01</v>
      </c>
      <c r="H16" s="67">
        <f t="shared" ca="1" si="4"/>
        <v>0.01</v>
      </c>
      <c r="I16" s="67">
        <f t="shared" ca="1" si="4"/>
        <v>1.4999999999999999E-2</v>
      </c>
      <c r="J16" s="67">
        <f t="shared" ca="1" si="4"/>
        <v>1.4999999999999999E-2</v>
      </c>
      <c r="K16" s="67">
        <f t="shared" ca="1" si="4"/>
        <v>1.4999999999999999E-2</v>
      </c>
      <c r="L16" s="67">
        <f t="shared" ca="1" si="4"/>
        <v>1.2499999999999999E-2</v>
      </c>
      <c r="M16" s="67">
        <f t="shared" ca="1" si="4"/>
        <v>1.4999999999999999E-2</v>
      </c>
      <c r="N16" s="67">
        <f t="shared" ca="1" si="4"/>
        <v>1.7499999999999998E-2</v>
      </c>
      <c r="O16" s="65">
        <f>P15</f>
        <v>0.1</v>
      </c>
      <c r="P16" s="65">
        <f>O16+R16</f>
        <v>0.32500000000000001</v>
      </c>
      <c r="Q16" s="66">
        <v>-2.5000000000000001E-3</v>
      </c>
      <c r="R16" s="65">
        <v>0.22500000000000001</v>
      </c>
    </row>
    <row r="17" spans="1:18" x14ac:dyDescent="0.15">
      <c r="A17" s="50" t="s">
        <v>83</v>
      </c>
      <c r="B17" s="67">
        <f>MIN(B16+$G$3,$G$4)</f>
        <v>0.02</v>
      </c>
      <c r="C17" s="67">
        <f t="shared" ref="C17:N17" ca="1" si="5">MIN(C16+$G$3,$G$4)</f>
        <v>2.2499999999999999E-2</v>
      </c>
      <c r="D17" s="67">
        <f t="shared" ca="1" si="5"/>
        <v>2.2499999999999999E-2</v>
      </c>
      <c r="E17" s="67">
        <f t="shared" ca="1" si="5"/>
        <v>2.2499999999999999E-2</v>
      </c>
      <c r="F17" s="67">
        <f t="shared" ca="1" si="5"/>
        <v>2.5000000000000001E-2</v>
      </c>
      <c r="G17" s="67">
        <f t="shared" ca="1" si="5"/>
        <v>0.03</v>
      </c>
      <c r="H17" s="67">
        <f t="shared" ca="1" si="5"/>
        <v>0.03</v>
      </c>
      <c r="I17" s="67">
        <f t="shared" ca="1" si="5"/>
        <v>3.5000000000000003E-2</v>
      </c>
      <c r="J17" s="67">
        <f t="shared" ca="1" si="5"/>
        <v>3.5000000000000003E-2</v>
      </c>
      <c r="K17" s="67">
        <f t="shared" ca="1" si="5"/>
        <v>3.5000000000000003E-2</v>
      </c>
      <c r="L17" s="67">
        <f t="shared" ca="1" si="5"/>
        <v>3.2500000000000001E-2</v>
      </c>
      <c r="M17" s="67">
        <f t="shared" ca="1" si="5"/>
        <v>3.5000000000000003E-2</v>
      </c>
      <c r="N17" s="67">
        <f t="shared" ca="1" si="5"/>
        <v>3.7499999999999999E-2</v>
      </c>
      <c r="O17" s="65">
        <f>P16</f>
        <v>0.32500000000000001</v>
      </c>
      <c r="P17" s="65">
        <f>O17+R17</f>
        <v>0.67500000000000004</v>
      </c>
      <c r="Q17" s="68">
        <v>0</v>
      </c>
      <c r="R17" s="65">
        <v>0.35</v>
      </c>
    </row>
    <row r="18" spans="1:18" x14ac:dyDescent="0.15">
      <c r="A18" s="50" t="s">
        <v>84</v>
      </c>
      <c r="B18" s="67">
        <f>MAX(B16+$G$5,$G$6)</f>
        <v>0.02</v>
      </c>
      <c r="C18" s="67">
        <f t="shared" ref="C18:N18" ca="1" si="6">MAX(C16+$G$5,$G$6)</f>
        <v>0.02</v>
      </c>
      <c r="D18" s="67">
        <f t="shared" ca="1" si="6"/>
        <v>0.02</v>
      </c>
      <c r="E18" s="67">
        <f t="shared" ca="1" si="6"/>
        <v>0.02</v>
      </c>
      <c r="F18" s="67">
        <f t="shared" ca="1" si="6"/>
        <v>0.02</v>
      </c>
      <c r="G18" s="67">
        <f t="shared" ca="1" si="6"/>
        <v>0.02</v>
      </c>
      <c r="H18" s="67">
        <f t="shared" ca="1" si="6"/>
        <v>0.02</v>
      </c>
      <c r="I18" s="67">
        <f t="shared" ca="1" si="6"/>
        <v>0.02</v>
      </c>
      <c r="J18" s="67">
        <f t="shared" ca="1" si="6"/>
        <v>0.02</v>
      </c>
      <c r="K18" s="67">
        <f t="shared" ca="1" si="6"/>
        <v>0.02</v>
      </c>
      <c r="L18" s="67">
        <f t="shared" ca="1" si="6"/>
        <v>0.02</v>
      </c>
      <c r="M18" s="67">
        <f t="shared" ca="1" si="6"/>
        <v>0.02</v>
      </c>
      <c r="N18" s="67">
        <f t="shared" ca="1" si="6"/>
        <v>0.02</v>
      </c>
      <c r="O18" s="65">
        <f>P17</f>
        <v>0.67500000000000004</v>
      </c>
      <c r="P18" s="65">
        <f>O18+R18</f>
        <v>0.9</v>
      </c>
      <c r="Q18" s="66">
        <v>2.5000000000000001E-3</v>
      </c>
      <c r="R18" s="65">
        <v>0.22500000000000001</v>
      </c>
    </row>
    <row r="19" spans="1:18" x14ac:dyDescent="0.15">
      <c r="A19" s="50"/>
      <c r="O19" s="65">
        <f>P18</f>
        <v>0.9</v>
      </c>
      <c r="P19" s="65">
        <f>O19+R19</f>
        <v>1</v>
      </c>
      <c r="Q19" s="66">
        <v>5.0000000000000001E-3</v>
      </c>
      <c r="R19" s="65">
        <v>0.1</v>
      </c>
    </row>
    <row r="20" spans="1:18" x14ac:dyDescent="0.15">
      <c r="A20" s="55" t="s">
        <v>85</v>
      </c>
      <c r="P20" s="67"/>
    </row>
    <row r="21" spans="1:18" x14ac:dyDescent="0.15">
      <c r="A21" s="50" t="s">
        <v>86</v>
      </c>
      <c r="C21" s="69">
        <f ca="1">IF(RAND()&lt;0.1,6000,0)</f>
        <v>0</v>
      </c>
      <c r="D21" s="69">
        <f t="shared" ref="D21:N21" ca="1" si="7">IF(RAND()&lt;0.1,6000,0)</f>
        <v>0</v>
      </c>
      <c r="E21" s="69">
        <f t="shared" ca="1" si="7"/>
        <v>0</v>
      </c>
      <c r="F21" s="69">
        <f t="shared" ca="1" si="7"/>
        <v>0</v>
      </c>
      <c r="G21" s="69">
        <f t="shared" ca="1" si="7"/>
        <v>6000</v>
      </c>
      <c r="H21" s="69">
        <f t="shared" ca="1" si="7"/>
        <v>0</v>
      </c>
      <c r="I21" s="69">
        <f t="shared" ca="1" si="7"/>
        <v>6000</v>
      </c>
      <c r="J21" s="69">
        <f t="shared" ca="1" si="7"/>
        <v>0</v>
      </c>
      <c r="K21" s="69">
        <f t="shared" ca="1" si="7"/>
        <v>0</v>
      </c>
      <c r="L21" s="69">
        <f t="shared" ca="1" si="7"/>
        <v>0</v>
      </c>
      <c r="M21" s="69">
        <f t="shared" ca="1" si="7"/>
        <v>0</v>
      </c>
      <c r="N21" s="69">
        <f t="shared" ca="1" si="7"/>
        <v>0</v>
      </c>
      <c r="O21" s="70"/>
      <c r="P21" s="54"/>
    </row>
    <row r="22" spans="1:18" x14ac:dyDescent="0.15">
      <c r="A22" s="50" t="s">
        <v>87</v>
      </c>
      <c r="B22" s="52"/>
      <c r="C22" s="71">
        <f ca="1">$P$22 + (RAND() * ($Q$22-$P$22))</f>
        <v>9.2192948332704461</v>
      </c>
      <c r="D22" s="71">
        <f t="shared" ref="D22:N22" ca="1" si="8">$P$22 + (RAND() * ($Q$22-$P$22))</f>
        <v>7.8810464602315333</v>
      </c>
      <c r="E22" s="71">
        <f t="shared" ca="1" si="8"/>
        <v>8.4037247569247917</v>
      </c>
      <c r="F22" s="71">
        <f t="shared" ca="1" si="8"/>
        <v>9.003347705413784</v>
      </c>
      <c r="G22" s="71">
        <f t="shared" ca="1" si="8"/>
        <v>8.0905982234364231</v>
      </c>
      <c r="H22" s="71">
        <f t="shared" ca="1" si="8"/>
        <v>8.1939045560532957</v>
      </c>
      <c r="I22" s="71">
        <f t="shared" ca="1" si="8"/>
        <v>7.9433679869875116</v>
      </c>
      <c r="J22" s="71">
        <f t="shared" ca="1" si="8"/>
        <v>10.455632897505049</v>
      </c>
      <c r="K22" s="71">
        <f t="shared" ca="1" si="8"/>
        <v>9.6842073179666031</v>
      </c>
      <c r="L22" s="71">
        <f t="shared" ca="1" si="8"/>
        <v>8.9756270486282759</v>
      </c>
      <c r="M22" s="71">
        <f t="shared" ca="1" si="8"/>
        <v>8.9390097919597995</v>
      </c>
      <c r="N22" s="71">
        <f t="shared" ca="1" si="8"/>
        <v>9.0819741934149381</v>
      </c>
      <c r="O22" s="59" t="s">
        <v>75</v>
      </c>
      <c r="P22" s="51">
        <v>7.5</v>
      </c>
      <c r="Q22" s="51">
        <v>10.5</v>
      </c>
    </row>
    <row r="23" spans="1:18" x14ac:dyDescent="0.15">
      <c r="A23" s="50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70"/>
      <c r="P23" s="52"/>
      <c r="Q23" s="52"/>
    </row>
    <row r="24" spans="1:18" x14ac:dyDescent="0.15">
      <c r="A24" s="55" t="s">
        <v>88</v>
      </c>
    </row>
    <row r="25" spans="1:18" ht="16" x14ac:dyDescent="0.2">
      <c r="A25" s="50" t="s">
        <v>89</v>
      </c>
      <c r="C25" s="72">
        <f t="shared" ref="C25" si="9">B36</f>
        <v>0</v>
      </c>
      <c r="D25" s="72">
        <f t="shared" ref="D25" ca="1" si="10">C36</f>
        <v>51777.602291631032</v>
      </c>
      <c r="E25" s="72">
        <f t="shared" ref="E25" ca="1" si="11">D36</f>
        <v>57438.773858263419</v>
      </c>
      <c r="F25" s="72">
        <f t="shared" ref="F25" ca="1" si="12">E36</f>
        <v>62192.46949060756</v>
      </c>
      <c r="G25" s="72">
        <f t="shared" ref="G25" ca="1" si="13">F36</f>
        <v>65638.472806836056</v>
      </c>
      <c r="H25" s="72">
        <f t="shared" ref="H25" ca="1" si="14">G36</f>
        <v>75789.769341877734</v>
      </c>
      <c r="I25" s="72">
        <f t="shared" ref="I25" ca="1" si="15">H36</f>
        <v>90109.509918405252</v>
      </c>
      <c r="J25" s="72">
        <f t="shared" ref="J25" ca="1" si="16">I36</f>
        <v>91101.991607687305</v>
      </c>
      <c r="K25" s="72">
        <f t="shared" ref="K25" ca="1" si="17">J36</f>
        <v>86095.389039294838</v>
      </c>
      <c r="L25" s="72">
        <f t="shared" ref="L25" ca="1" si="18">K36</f>
        <v>84321.557137295167</v>
      </c>
      <c r="M25" s="72">
        <f t="shared" ref="M25" ca="1" si="19">L36</f>
        <v>88282.496350179325</v>
      </c>
      <c r="N25" s="72">
        <f t="shared" ref="N25" ca="1" si="20">M36</f>
        <v>86811.609629606653</v>
      </c>
      <c r="O25" s="72"/>
      <c r="P25" s="73" t="s">
        <v>90</v>
      </c>
      <c r="Q25" s="74"/>
    </row>
    <row r="26" spans="1:18" ht="16" x14ac:dyDescent="0.2">
      <c r="A26" s="50" t="s">
        <v>91</v>
      </c>
      <c r="B26" s="72"/>
      <c r="C26" s="72">
        <f ca="1">C11*C12*$B$2</f>
        <v>18544.522036541552</v>
      </c>
      <c r="D26" s="72">
        <f t="shared" ref="D26:N26" ca="1" si="21">D11*D12*$B$2</f>
        <v>21012.47708376126</v>
      </c>
      <c r="E26" s="72">
        <f t="shared" ca="1" si="21"/>
        <v>31445.228583165506</v>
      </c>
      <c r="F26" s="72">
        <f t="shared" ca="1" si="21"/>
        <v>30980.71711046734</v>
      </c>
      <c r="G26" s="72">
        <f t="shared" ca="1" si="21"/>
        <v>30875.391682227444</v>
      </c>
      <c r="H26" s="72">
        <f t="shared" ca="1" si="21"/>
        <v>20128.644129719287</v>
      </c>
      <c r="I26" s="72">
        <f t="shared" ca="1" si="21"/>
        <v>21102.398468264309</v>
      </c>
      <c r="J26" s="72">
        <f t="shared" ca="1" si="21"/>
        <v>22687.845736984516</v>
      </c>
      <c r="K26" s="72">
        <f t="shared" ca="1" si="21"/>
        <v>18736.937922048703</v>
      </c>
      <c r="L26" s="72">
        <f t="shared" ca="1" si="21"/>
        <v>20499.886426462526</v>
      </c>
      <c r="M26" s="72">
        <f t="shared" ca="1" si="21"/>
        <v>22649.074231751234</v>
      </c>
      <c r="N26" s="72">
        <f t="shared" ca="1" si="21"/>
        <v>18506.504435921128</v>
      </c>
      <c r="P26" s="73" t="s">
        <v>92</v>
      </c>
      <c r="Q26" s="75">
        <f ca="1">AVERAGE(C39:C238)</f>
        <v>109877.83598187553</v>
      </c>
    </row>
    <row r="27" spans="1:18" ht="16" x14ac:dyDescent="0.2">
      <c r="A27" s="50" t="s">
        <v>93</v>
      </c>
      <c r="B27" s="72"/>
      <c r="C27" s="72">
        <f>B11*(1-B12)*$B$2</f>
        <v>84960</v>
      </c>
      <c r="D27" s="72">
        <f t="shared" ref="D27:N27" ca="1" si="22">C11*(1-C12)*$B$2</f>
        <v>32513.942352750819</v>
      </c>
      <c r="E27" s="72">
        <f t="shared" ca="1" si="22"/>
        <v>34412.852685924554</v>
      </c>
      <c r="F27" s="72">
        <f t="shared" ca="1" si="22"/>
        <v>39599.213094314036</v>
      </c>
      <c r="G27" s="72">
        <f t="shared" ca="1" si="22"/>
        <v>43495.28196009875</v>
      </c>
      <c r="H27" s="72">
        <f t="shared" ca="1" si="22"/>
        <v>38882.831773508071</v>
      </c>
      <c r="I27" s="72">
        <f t="shared" ca="1" si="22"/>
        <v>29236.144756383732</v>
      </c>
      <c r="J27" s="72">
        <f t="shared" ca="1" si="22"/>
        <v>28219.126286298837</v>
      </c>
      <c r="K27" s="72">
        <f t="shared" ca="1" si="22"/>
        <v>29229.372322142808</v>
      </c>
      <c r="L27" s="72">
        <f t="shared" ca="1" si="22"/>
        <v>29542.139938698256</v>
      </c>
      <c r="M27" s="72">
        <f t="shared" ca="1" si="22"/>
        <v>26651.161321777927</v>
      </c>
      <c r="N27" s="72">
        <f t="shared" ca="1" si="22"/>
        <v>31097.512649202668</v>
      </c>
      <c r="O27" s="72"/>
      <c r="P27" s="73" t="s">
        <v>94</v>
      </c>
      <c r="Q27" s="76">
        <f ca="1">_xlfn.STDEV.S(C39:C238)</f>
        <v>35714.479150160318</v>
      </c>
    </row>
    <row r="28" spans="1:18" ht="16" x14ac:dyDescent="0.2">
      <c r="A28" s="77" t="s">
        <v>95</v>
      </c>
      <c r="B28" s="72"/>
      <c r="C28" s="78">
        <f>-$B$4</f>
        <v>-12500</v>
      </c>
      <c r="D28" s="78">
        <f t="shared" ref="D28:N28" si="23">-$B$4</f>
        <v>-12500</v>
      </c>
      <c r="E28" s="78">
        <f t="shared" si="23"/>
        <v>-12500</v>
      </c>
      <c r="F28" s="78">
        <f t="shared" si="23"/>
        <v>-12500</v>
      </c>
      <c r="G28" s="78">
        <f t="shared" si="23"/>
        <v>-12500</v>
      </c>
      <c r="H28" s="78">
        <f t="shared" si="23"/>
        <v>-12500</v>
      </c>
      <c r="I28" s="78">
        <f t="shared" si="23"/>
        <v>-12500</v>
      </c>
      <c r="J28" s="78">
        <f t="shared" si="23"/>
        <v>-12500</v>
      </c>
      <c r="K28" s="78">
        <f t="shared" si="23"/>
        <v>-12500</v>
      </c>
      <c r="L28" s="78">
        <f t="shared" si="23"/>
        <v>-12500</v>
      </c>
      <c r="M28" s="78">
        <f t="shared" si="23"/>
        <v>-12500</v>
      </c>
      <c r="N28" s="78">
        <f t="shared" si="23"/>
        <v>-12500</v>
      </c>
      <c r="P28" s="73" t="s">
        <v>96</v>
      </c>
      <c r="Q28" s="75">
        <f ca="1">MIN(C39:C238)</f>
        <v>20000</v>
      </c>
    </row>
    <row r="29" spans="1:18" ht="16" x14ac:dyDescent="0.2">
      <c r="A29" s="77" t="s">
        <v>97</v>
      </c>
      <c r="B29" s="72"/>
      <c r="C29" s="78">
        <f t="shared" ref="C29:N29" ca="1" si="24">-C22*C11</f>
        <v>-39226.919744910512</v>
      </c>
      <c r="D29" s="78">
        <f t="shared" ca="1" si="24"/>
        <v>-36400.799915712312</v>
      </c>
      <c r="E29" s="78">
        <f t="shared" ca="1" si="24"/>
        <v>-49753.161113911192</v>
      </c>
      <c r="F29" s="78">
        <f t="shared" ca="1" si="24"/>
        <v>-55877.776278365032</v>
      </c>
      <c r="G29" s="78">
        <f t="shared" ca="1" si="24"/>
        <v>-47032.146563421229</v>
      </c>
      <c r="H29" s="78">
        <f t="shared" ca="1" si="24"/>
        <v>-33707.530713537381</v>
      </c>
      <c r="I29" s="78">
        <f t="shared" ca="1" si="24"/>
        <v>-32648.251733734083</v>
      </c>
      <c r="J29" s="78">
        <f t="shared" ca="1" si="24"/>
        <v>-45235.614423829575</v>
      </c>
      <c r="K29" s="78">
        <f t="shared" ca="1" si="24"/>
        <v>-38962.049926977088</v>
      </c>
      <c r="L29" s="78">
        <f t="shared" ca="1" si="24"/>
        <v>-35267.518295022535</v>
      </c>
      <c r="M29" s="78">
        <f t="shared" ca="1" si="24"/>
        <v>-40036.772201105414</v>
      </c>
      <c r="N29" s="78">
        <f t="shared" ca="1" si="24"/>
        <v>-37181.420666889564</v>
      </c>
      <c r="P29" s="73" t="s">
        <v>98</v>
      </c>
      <c r="Q29" s="75">
        <f ca="1">MAX(C39:C238)</f>
        <v>203369.49387437225</v>
      </c>
    </row>
    <row r="30" spans="1:18" ht="16" x14ac:dyDescent="0.2">
      <c r="A30" s="77" t="s">
        <v>99</v>
      </c>
      <c r="B30" s="72"/>
      <c r="C30" s="78">
        <f ca="1">-C21</f>
        <v>0</v>
      </c>
      <c r="D30" s="78">
        <f t="shared" ref="D30:N30" ca="1" si="25">-D21</f>
        <v>0</v>
      </c>
      <c r="E30" s="78">
        <f t="shared" ca="1" si="25"/>
        <v>0</v>
      </c>
      <c r="F30" s="78">
        <f t="shared" ca="1" si="25"/>
        <v>0</v>
      </c>
      <c r="G30" s="78">
        <f t="shared" ca="1" si="25"/>
        <v>-6000</v>
      </c>
      <c r="H30" s="78">
        <f t="shared" ca="1" si="25"/>
        <v>0</v>
      </c>
      <c r="I30" s="78">
        <f t="shared" ca="1" si="25"/>
        <v>-6000</v>
      </c>
      <c r="J30" s="78">
        <f t="shared" ca="1" si="25"/>
        <v>0</v>
      </c>
      <c r="K30" s="78">
        <f t="shared" ca="1" si="25"/>
        <v>0</v>
      </c>
      <c r="L30" s="78">
        <f t="shared" ca="1" si="25"/>
        <v>0</v>
      </c>
      <c r="M30" s="78">
        <f t="shared" ca="1" si="25"/>
        <v>0</v>
      </c>
      <c r="N30" s="78">
        <f t="shared" ca="1" si="25"/>
        <v>0</v>
      </c>
      <c r="P30" s="73" t="s">
        <v>100</v>
      </c>
      <c r="Q30" s="79">
        <f ca="1">COUNTIF(C39:C238,"&lt; 100000")/COUNT(C39:C238)</f>
        <v>0.41</v>
      </c>
    </row>
    <row r="31" spans="1:18" ht="16" x14ac:dyDescent="0.2">
      <c r="A31" s="77" t="s">
        <v>101</v>
      </c>
      <c r="B31" s="72"/>
      <c r="C31" s="78">
        <f t="shared" ref="C31" si="26">-B35</f>
        <v>0</v>
      </c>
      <c r="D31" s="78">
        <f t="shared" ref="D31" ca="1" si="27">-C35</f>
        <v>0</v>
      </c>
      <c r="E31" s="78">
        <f t="shared" ref="E31" ca="1" si="28">-D35</f>
        <v>0</v>
      </c>
      <c r="F31" s="78">
        <f t="shared" ref="F31" ca="1" si="29">-E35</f>
        <v>0</v>
      </c>
      <c r="G31" s="78">
        <f t="shared" ref="G31" ca="1" si="30">-F35</f>
        <v>0</v>
      </c>
      <c r="H31" s="78">
        <f t="shared" ref="H31" ca="1" si="31">-G35</f>
        <v>0</v>
      </c>
      <c r="I31" s="78">
        <f t="shared" ref="I31" ca="1" si="32">-H35</f>
        <v>0</v>
      </c>
      <c r="J31" s="78">
        <f t="shared" ref="J31" ca="1" si="33">-I35</f>
        <v>0</v>
      </c>
      <c r="K31" s="78">
        <f t="shared" ref="K31" ca="1" si="34">-J35</f>
        <v>0</v>
      </c>
      <c r="L31" s="78">
        <f t="shared" ref="L31" ca="1" si="35">-K35</f>
        <v>0</v>
      </c>
      <c r="M31" s="78">
        <f t="shared" ref="M31" ca="1" si="36">-L35</f>
        <v>0</v>
      </c>
      <c r="N31" s="78">
        <f t="shared" ref="N31" ca="1" si="37">-M35</f>
        <v>0</v>
      </c>
      <c r="O31" s="72"/>
      <c r="P31" s="73" t="s">
        <v>102</v>
      </c>
      <c r="Q31" s="80">
        <f>MAX(B39:B238)</f>
        <v>200</v>
      </c>
    </row>
    <row r="32" spans="1:18" x14ac:dyDescent="0.15">
      <c r="A32" s="77" t="s">
        <v>103</v>
      </c>
      <c r="B32" s="72"/>
      <c r="C32" s="78">
        <f t="shared" ref="C32" si="38">-B35*B17</f>
        <v>0</v>
      </c>
      <c r="D32" s="78">
        <f t="shared" ref="D32" ca="1" si="39">-C35*C17</f>
        <v>0</v>
      </c>
      <c r="E32" s="78">
        <f t="shared" ref="E32" ca="1" si="40">-D35*D17</f>
        <v>0</v>
      </c>
      <c r="F32" s="78">
        <f t="shared" ref="F32" ca="1" si="41">-E35*E17</f>
        <v>0</v>
      </c>
      <c r="G32" s="78">
        <f t="shared" ref="G32" ca="1" si="42">-F35*F17</f>
        <v>0</v>
      </c>
      <c r="H32" s="78">
        <f t="shared" ref="H32" ca="1" si="43">-G35*G17</f>
        <v>0</v>
      </c>
      <c r="I32" s="78">
        <f t="shared" ref="I32" ca="1" si="44">-H35*H17</f>
        <v>0</v>
      </c>
      <c r="J32" s="78">
        <f t="shared" ref="J32" ca="1" si="45">-I35*I17</f>
        <v>0</v>
      </c>
      <c r="K32" s="78">
        <f t="shared" ref="K32" ca="1" si="46">-J35*J17</f>
        <v>0</v>
      </c>
      <c r="L32" s="78">
        <f t="shared" ref="L32" ca="1" si="47">-K35*K17</f>
        <v>0</v>
      </c>
      <c r="M32" s="78">
        <f t="shared" ref="M32" ca="1" si="48">-L35*L17</f>
        <v>0</v>
      </c>
      <c r="N32" s="78">
        <f t="shared" ref="N32" ca="1" si="49">-M35*M17</f>
        <v>0</v>
      </c>
      <c r="O32" s="72"/>
    </row>
    <row r="33" spans="1:15" x14ac:dyDescent="0.15">
      <c r="A33" s="50" t="s">
        <v>104</v>
      </c>
      <c r="B33" s="72"/>
      <c r="C33" s="72">
        <f t="shared" ref="C33" si="50">B36*B18</f>
        <v>0</v>
      </c>
      <c r="D33" s="72">
        <f t="shared" ref="D33" ca="1" si="51">C36*C18</f>
        <v>1035.5520458326207</v>
      </c>
      <c r="E33" s="72">
        <f t="shared" ref="E33" ca="1" si="52">D36*D18</f>
        <v>1148.7754771652685</v>
      </c>
      <c r="F33" s="72">
        <f t="shared" ref="F33" ca="1" si="53">E36*E18</f>
        <v>1243.8493898121512</v>
      </c>
      <c r="G33" s="72">
        <f t="shared" ref="G33" ca="1" si="54">F36*F18</f>
        <v>1312.7694561367211</v>
      </c>
      <c r="H33" s="72">
        <f t="shared" ref="H33" ca="1" si="55">G36*G18</f>
        <v>1515.7953868375548</v>
      </c>
      <c r="I33" s="72">
        <f t="shared" ref="I33" ca="1" si="56">H36*H18</f>
        <v>1802.190198368105</v>
      </c>
      <c r="J33" s="72">
        <f t="shared" ref="J33" ca="1" si="57">I36*I18</f>
        <v>1822.0398321537461</v>
      </c>
      <c r="K33" s="72">
        <f t="shared" ref="K33" ca="1" si="58">J36*J18</f>
        <v>1721.9077807858969</v>
      </c>
      <c r="L33" s="72">
        <f t="shared" ref="L33" ca="1" si="59">K36*K18</f>
        <v>1686.4311427459033</v>
      </c>
      <c r="M33" s="72">
        <f t="shared" ref="M33" ca="1" si="60">L36*L18</f>
        <v>1765.6499270035865</v>
      </c>
      <c r="N33" s="72">
        <f t="shared" ref="N33" ca="1" si="61">M36*M18</f>
        <v>1736.2321925921331</v>
      </c>
      <c r="O33" s="72"/>
    </row>
    <row r="34" spans="1:15" x14ac:dyDescent="0.15">
      <c r="A34" s="50" t="s">
        <v>105</v>
      </c>
      <c r="B34" s="72"/>
      <c r="C34" s="72">
        <f t="shared" ref="C34:N34" ca="1" si="62">SUM(C25:C33)</f>
        <v>51777.602291631032</v>
      </c>
      <c r="D34" s="72">
        <f t="shared" ca="1" si="62"/>
        <v>57438.773858263419</v>
      </c>
      <c r="E34" s="72">
        <f t="shared" ca="1" si="62"/>
        <v>62192.46949060756</v>
      </c>
      <c r="F34" s="72">
        <f t="shared" ca="1" si="62"/>
        <v>65638.472806836056</v>
      </c>
      <c r="G34" s="72">
        <f t="shared" ca="1" si="62"/>
        <v>75789.769341877734</v>
      </c>
      <c r="H34" s="72">
        <f t="shared" ca="1" si="62"/>
        <v>90109.509918405252</v>
      </c>
      <c r="I34" s="72">
        <f t="shared" ca="1" si="62"/>
        <v>91101.991607687305</v>
      </c>
      <c r="J34" s="72">
        <f t="shared" ca="1" si="62"/>
        <v>86095.389039294838</v>
      </c>
      <c r="K34" s="72">
        <f t="shared" ca="1" si="62"/>
        <v>84321.557137295167</v>
      </c>
      <c r="L34" s="72">
        <f t="shared" ca="1" si="62"/>
        <v>88282.496350179325</v>
      </c>
      <c r="M34" s="72">
        <f t="shared" ca="1" si="62"/>
        <v>86811.609629606653</v>
      </c>
      <c r="N34" s="72">
        <f t="shared" ca="1" si="62"/>
        <v>88470.438240433024</v>
      </c>
      <c r="O34" s="72"/>
    </row>
    <row r="35" spans="1:15" x14ac:dyDescent="0.15">
      <c r="A35" s="50" t="s">
        <v>106</v>
      </c>
      <c r="B35" s="72"/>
      <c r="C35" s="72">
        <f ca="1">IF(C34&lt;=$B$5,$B$5-C34,0)</f>
        <v>0</v>
      </c>
      <c r="D35" s="72">
        <f t="shared" ref="D35:N35" ca="1" si="63">IF(D34&lt;=$B$5,$B$5-D34,0)</f>
        <v>0</v>
      </c>
      <c r="E35" s="72">
        <f t="shared" ca="1" si="63"/>
        <v>0</v>
      </c>
      <c r="F35" s="72">
        <f t="shared" ca="1" si="63"/>
        <v>0</v>
      </c>
      <c r="G35" s="72">
        <f t="shared" ca="1" si="63"/>
        <v>0</v>
      </c>
      <c r="H35" s="72">
        <f t="shared" ca="1" si="63"/>
        <v>0</v>
      </c>
      <c r="I35" s="72">
        <f t="shared" ca="1" si="63"/>
        <v>0</v>
      </c>
      <c r="J35" s="72">
        <f t="shared" ca="1" si="63"/>
        <v>0</v>
      </c>
      <c r="K35" s="72">
        <f t="shared" ca="1" si="63"/>
        <v>0</v>
      </c>
      <c r="L35" s="72">
        <f t="shared" ca="1" si="63"/>
        <v>0</v>
      </c>
      <c r="M35" s="72">
        <f t="shared" ca="1" si="63"/>
        <v>0</v>
      </c>
      <c r="N35" s="72">
        <f t="shared" ca="1" si="63"/>
        <v>0</v>
      </c>
    </row>
    <row r="36" spans="1:15" x14ac:dyDescent="0.15">
      <c r="A36" s="50" t="s">
        <v>107</v>
      </c>
      <c r="B36" s="72">
        <v>0</v>
      </c>
      <c r="C36" s="72">
        <f ca="1">C34+C35</f>
        <v>51777.602291631032</v>
      </c>
      <c r="D36" s="72">
        <f t="shared" ref="D36:N36" ca="1" si="64">D34+D35</f>
        <v>57438.773858263419</v>
      </c>
      <c r="E36" s="72">
        <f t="shared" ca="1" si="64"/>
        <v>62192.46949060756</v>
      </c>
      <c r="F36" s="72">
        <f t="shared" ca="1" si="64"/>
        <v>65638.472806836056</v>
      </c>
      <c r="G36" s="72">
        <f t="shared" ca="1" si="64"/>
        <v>75789.769341877734</v>
      </c>
      <c r="H36" s="72">
        <f t="shared" ca="1" si="64"/>
        <v>90109.509918405252</v>
      </c>
      <c r="I36" s="72">
        <f t="shared" ca="1" si="64"/>
        <v>91101.991607687305</v>
      </c>
      <c r="J36" s="72">
        <f t="shared" ca="1" si="64"/>
        <v>86095.389039294838</v>
      </c>
      <c r="K36" s="72">
        <f t="shared" ca="1" si="64"/>
        <v>84321.557137295167</v>
      </c>
      <c r="L36" s="72">
        <f t="shared" ca="1" si="64"/>
        <v>88282.496350179325</v>
      </c>
      <c r="M36" s="72">
        <f t="shared" ca="1" si="64"/>
        <v>86811.609629606653</v>
      </c>
      <c r="N36" s="72">
        <f t="shared" ca="1" si="64"/>
        <v>88470.438240433024</v>
      </c>
      <c r="O36" s="72"/>
    </row>
    <row r="38" spans="1:15" x14ac:dyDescent="0.15">
      <c r="B38" s="49" t="s">
        <v>108</v>
      </c>
      <c r="C38" s="49" t="s">
        <v>107</v>
      </c>
    </row>
    <row r="39" spans="1:15" x14ac:dyDescent="0.15">
      <c r="B39" s="48">
        <v>1</v>
      </c>
      <c r="C39" s="72">
        <f ca="1">N36</f>
        <v>88470.438240433024</v>
      </c>
    </row>
    <row r="40" spans="1:15" x14ac:dyDescent="0.15">
      <c r="B40" s="48">
        <v>2</v>
      </c>
      <c r="C40" s="81">
        <f t="dataTable" ref="C40:C238" dt2D="0" dtr="0" r1="I4" ca="1"/>
        <v>163987.16288814004</v>
      </c>
    </row>
    <row r="41" spans="1:15" x14ac:dyDescent="0.15">
      <c r="B41" s="48">
        <v>3</v>
      </c>
      <c r="C41" s="81">
        <v>117673.13163986827</v>
      </c>
    </row>
    <row r="42" spans="1:15" x14ac:dyDescent="0.15">
      <c r="B42" s="48">
        <v>4</v>
      </c>
      <c r="C42" s="81">
        <v>122927.26241681111</v>
      </c>
    </row>
    <row r="43" spans="1:15" x14ac:dyDescent="0.15">
      <c r="B43" s="48">
        <v>5</v>
      </c>
      <c r="C43" s="81">
        <v>86801.106984987724</v>
      </c>
    </row>
    <row r="44" spans="1:15" x14ac:dyDescent="0.15">
      <c r="B44" s="48">
        <v>6</v>
      </c>
      <c r="C44" s="81">
        <v>107106.87695795095</v>
      </c>
    </row>
    <row r="45" spans="1:15" x14ac:dyDescent="0.15">
      <c r="B45" s="48">
        <v>7</v>
      </c>
      <c r="C45" s="81">
        <v>120547.60399645008</v>
      </c>
    </row>
    <row r="46" spans="1:15" x14ac:dyDescent="0.15">
      <c r="B46" s="48">
        <v>8</v>
      </c>
      <c r="C46" s="81">
        <v>109359.42641226477</v>
      </c>
    </row>
    <row r="47" spans="1:15" x14ac:dyDescent="0.15">
      <c r="B47" s="48">
        <v>9</v>
      </c>
      <c r="C47" s="81">
        <v>157984.90236048517</v>
      </c>
    </row>
    <row r="48" spans="1:15" x14ac:dyDescent="0.15">
      <c r="B48" s="48">
        <v>10</v>
      </c>
      <c r="C48" s="81">
        <v>102971.12575746178</v>
      </c>
    </row>
    <row r="49" spans="1:3" ht="14" x14ac:dyDescent="0.2">
      <c r="A49" s="82"/>
      <c r="B49" s="48">
        <v>11</v>
      </c>
      <c r="C49" s="81">
        <v>119223.84385281801</v>
      </c>
    </row>
    <row r="50" spans="1:3" ht="14" x14ac:dyDescent="0.2">
      <c r="A50" s="82"/>
      <c r="B50" s="48">
        <v>12</v>
      </c>
      <c r="C50" s="81">
        <v>86877.500806826254</v>
      </c>
    </row>
    <row r="51" spans="1:3" ht="14" x14ac:dyDescent="0.2">
      <c r="A51" s="82"/>
      <c r="B51" s="48">
        <v>13</v>
      </c>
      <c r="C51" s="81">
        <v>47662.836780293313</v>
      </c>
    </row>
    <row r="52" spans="1:3" ht="14" x14ac:dyDescent="0.2">
      <c r="A52" s="82"/>
      <c r="B52" s="48">
        <v>14</v>
      </c>
      <c r="C52" s="81">
        <v>138186.90368873958</v>
      </c>
    </row>
    <row r="53" spans="1:3" x14ac:dyDescent="0.15">
      <c r="B53" s="48">
        <v>15</v>
      </c>
      <c r="C53" s="81">
        <v>47817.462516433661</v>
      </c>
    </row>
    <row r="54" spans="1:3" x14ac:dyDescent="0.15">
      <c r="B54" s="48">
        <v>16</v>
      </c>
      <c r="C54" s="81">
        <v>185653.4873309203</v>
      </c>
    </row>
    <row r="55" spans="1:3" x14ac:dyDescent="0.15">
      <c r="B55" s="48">
        <v>17</v>
      </c>
      <c r="C55" s="81">
        <v>96106.304182056992</v>
      </c>
    </row>
    <row r="56" spans="1:3" x14ac:dyDescent="0.15">
      <c r="B56" s="48">
        <v>18</v>
      </c>
      <c r="C56" s="81">
        <v>166578.79551725031</v>
      </c>
    </row>
    <row r="57" spans="1:3" x14ac:dyDescent="0.15">
      <c r="B57" s="48">
        <v>19</v>
      </c>
      <c r="C57" s="81">
        <v>112962.03340328687</v>
      </c>
    </row>
    <row r="58" spans="1:3" x14ac:dyDescent="0.15">
      <c r="B58" s="48">
        <v>20</v>
      </c>
      <c r="C58" s="81">
        <v>152826.41765759344</v>
      </c>
    </row>
    <row r="59" spans="1:3" x14ac:dyDescent="0.15">
      <c r="B59" s="48">
        <v>21</v>
      </c>
      <c r="C59" s="81">
        <v>92085.092515019423</v>
      </c>
    </row>
    <row r="60" spans="1:3" x14ac:dyDescent="0.15">
      <c r="B60" s="48">
        <v>22</v>
      </c>
      <c r="C60" s="81">
        <v>76401.439765164818</v>
      </c>
    </row>
    <row r="61" spans="1:3" x14ac:dyDescent="0.15">
      <c r="B61" s="48">
        <v>23</v>
      </c>
      <c r="C61" s="81">
        <v>80705.612166623585</v>
      </c>
    </row>
    <row r="62" spans="1:3" x14ac:dyDescent="0.15">
      <c r="B62" s="48">
        <v>24</v>
      </c>
      <c r="C62" s="81">
        <v>159189.04776523905</v>
      </c>
    </row>
    <row r="63" spans="1:3" x14ac:dyDescent="0.15">
      <c r="B63" s="48">
        <v>25</v>
      </c>
      <c r="C63" s="81">
        <v>95448.411858108491</v>
      </c>
    </row>
    <row r="64" spans="1:3" x14ac:dyDescent="0.15">
      <c r="B64" s="48">
        <v>26</v>
      </c>
      <c r="C64" s="81">
        <v>136261.16763289063</v>
      </c>
    </row>
    <row r="65" spans="2:3" x14ac:dyDescent="0.15">
      <c r="B65" s="48">
        <v>27</v>
      </c>
      <c r="C65" s="81">
        <v>139815.65751318264</v>
      </c>
    </row>
    <row r="66" spans="2:3" x14ac:dyDescent="0.15">
      <c r="B66" s="48">
        <v>28</v>
      </c>
      <c r="C66" s="81">
        <v>88331.14477892431</v>
      </c>
    </row>
    <row r="67" spans="2:3" x14ac:dyDescent="0.15">
      <c r="B67" s="48">
        <v>29</v>
      </c>
      <c r="C67" s="81">
        <v>108425.69151706166</v>
      </c>
    </row>
    <row r="68" spans="2:3" x14ac:dyDescent="0.15">
      <c r="B68" s="48">
        <v>30</v>
      </c>
      <c r="C68" s="81">
        <v>85814.053766091005</v>
      </c>
    </row>
    <row r="69" spans="2:3" x14ac:dyDescent="0.15">
      <c r="B69" s="48">
        <v>31</v>
      </c>
      <c r="C69" s="81">
        <v>117672.43207090852</v>
      </c>
    </row>
    <row r="70" spans="2:3" x14ac:dyDescent="0.15">
      <c r="B70" s="48">
        <v>32</v>
      </c>
      <c r="C70" s="81">
        <v>155237.95646734309</v>
      </c>
    </row>
    <row r="71" spans="2:3" x14ac:dyDescent="0.15">
      <c r="B71" s="48">
        <v>33</v>
      </c>
      <c r="C71" s="81">
        <v>149530.3973005946</v>
      </c>
    </row>
    <row r="72" spans="2:3" x14ac:dyDescent="0.15">
      <c r="B72" s="48">
        <v>34</v>
      </c>
      <c r="C72" s="81">
        <v>100883.25401939596</v>
      </c>
    </row>
    <row r="73" spans="2:3" x14ac:dyDescent="0.15">
      <c r="B73" s="48">
        <v>35</v>
      </c>
      <c r="C73" s="81">
        <v>109346.38055414494</v>
      </c>
    </row>
    <row r="74" spans="2:3" x14ac:dyDescent="0.15">
      <c r="B74" s="48">
        <v>36</v>
      </c>
      <c r="C74" s="81">
        <v>60315.723291422626</v>
      </c>
    </row>
    <row r="75" spans="2:3" x14ac:dyDescent="0.15">
      <c r="B75" s="48">
        <v>37</v>
      </c>
      <c r="C75" s="81">
        <v>103374.68721682338</v>
      </c>
    </row>
    <row r="76" spans="2:3" x14ac:dyDescent="0.15">
      <c r="B76" s="48">
        <v>38</v>
      </c>
      <c r="C76" s="81">
        <v>131993.03190090225</v>
      </c>
    </row>
    <row r="77" spans="2:3" x14ac:dyDescent="0.15">
      <c r="B77" s="48">
        <v>39</v>
      </c>
      <c r="C77" s="81">
        <v>53382.917790409316</v>
      </c>
    </row>
    <row r="78" spans="2:3" x14ac:dyDescent="0.15">
      <c r="B78" s="48">
        <v>40</v>
      </c>
      <c r="C78" s="81">
        <v>175941.21153044034</v>
      </c>
    </row>
    <row r="79" spans="2:3" x14ac:dyDescent="0.15">
      <c r="B79" s="48">
        <v>41</v>
      </c>
      <c r="C79" s="81">
        <v>115935.57267526785</v>
      </c>
    </row>
    <row r="80" spans="2:3" x14ac:dyDescent="0.15">
      <c r="B80" s="48">
        <v>42</v>
      </c>
      <c r="C80" s="81">
        <v>162366.02643758251</v>
      </c>
    </row>
    <row r="81" spans="2:3" x14ac:dyDescent="0.15">
      <c r="B81" s="48">
        <v>43</v>
      </c>
      <c r="C81" s="81">
        <v>121245.06324103642</v>
      </c>
    </row>
    <row r="82" spans="2:3" x14ac:dyDescent="0.15">
      <c r="B82" s="48">
        <v>44</v>
      </c>
      <c r="C82" s="81">
        <v>103163.24106278758</v>
      </c>
    </row>
    <row r="83" spans="2:3" x14ac:dyDescent="0.15">
      <c r="B83" s="48">
        <v>45</v>
      </c>
      <c r="C83" s="81">
        <v>65090.964381695791</v>
      </c>
    </row>
    <row r="84" spans="2:3" x14ac:dyDescent="0.15">
      <c r="B84" s="48">
        <v>46</v>
      </c>
      <c r="C84" s="81">
        <v>78989.271942474807</v>
      </c>
    </row>
    <row r="85" spans="2:3" x14ac:dyDescent="0.15">
      <c r="B85" s="48">
        <v>47</v>
      </c>
      <c r="C85" s="81">
        <v>118411.12938382939</v>
      </c>
    </row>
    <row r="86" spans="2:3" x14ac:dyDescent="0.15">
      <c r="B86" s="48">
        <v>48</v>
      </c>
      <c r="C86" s="81">
        <v>184470.60513367152</v>
      </c>
    </row>
    <row r="87" spans="2:3" x14ac:dyDescent="0.15">
      <c r="B87" s="48">
        <v>49</v>
      </c>
      <c r="C87" s="81">
        <v>139767.11908123788</v>
      </c>
    </row>
    <row r="88" spans="2:3" x14ac:dyDescent="0.15">
      <c r="B88" s="48">
        <v>50</v>
      </c>
      <c r="C88" s="81">
        <v>61469.445770505663</v>
      </c>
    </row>
    <row r="89" spans="2:3" x14ac:dyDescent="0.15">
      <c r="B89" s="48">
        <v>51</v>
      </c>
      <c r="C89" s="81">
        <v>103270.7812978166</v>
      </c>
    </row>
    <row r="90" spans="2:3" x14ac:dyDescent="0.15">
      <c r="B90" s="48">
        <v>52</v>
      </c>
      <c r="C90" s="81">
        <v>101536.87265690824</v>
      </c>
    </row>
    <row r="91" spans="2:3" x14ac:dyDescent="0.15">
      <c r="B91" s="48">
        <v>53</v>
      </c>
      <c r="C91" s="81">
        <v>67182.881931435186</v>
      </c>
    </row>
    <row r="92" spans="2:3" x14ac:dyDescent="0.15">
      <c r="B92" s="48">
        <v>54</v>
      </c>
      <c r="C92" s="81">
        <v>90834.332860642855</v>
      </c>
    </row>
    <row r="93" spans="2:3" x14ac:dyDescent="0.15">
      <c r="B93" s="48">
        <v>55</v>
      </c>
      <c r="C93" s="81">
        <v>77854.821202174935</v>
      </c>
    </row>
    <row r="94" spans="2:3" x14ac:dyDescent="0.15">
      <c r="B94" s="48">
        <v>56</v>
      </c>
      <c r="C94" s="81">
        <v>138820.87570454931</v>
      </c>
    </row>
    <row r="95" spans="2:3" x14ac:dyDescent="0.15">
      <c r="B95" s="48">
        <v>57</v>
      </c>
      <c r="C95" s="81">
        <v>106229.86956720006</v>
      </c>
    </row>
    <row r="96" spans="2:3" x14ac:dyDescent="0.15">
      <c r="B96" s="48">
        <v>58</v>
      </c>
      <c r="C96" s="81">
        <v>130928.90298490092</v>
      </c>
    </row>
    <row r="97" spans="2:3" x14ac:dyDescent="0.15">
      <c r="B97" s="48">
        <v>59</v>
      </c>
      <c r="C97" s="81">
        <v>100785.51015200641</v>
      </c>
    </row>
    <row r="98" spans="2:3" x14ac:dyDescent="0.15">
      <c r="B98" s="48">
        <v>60</v>
      </c>
      <c r="C98" s="81">
        <v>66160.702302394449</v>
      </c>
    </row>
    <row r="99" spans="2:3" x14ac:dyDescent="0.15">
      <c r="B99" s="48">
        <v>61</v>
      </c>
      <c r="C99" s="81">
        <v>107101.26756484</v>
      </c>
    </row>
    <row r="100" spans="2:3" x14ac:dyDescent="0.15">
      <c r="B100" s="48">
        <v>62</v>
      </c>
      <c r="C100" s="81">
        <v>148475.7423221333</v>
      </c>
    </row>
    <row r="101" spans="2:3" x14ac:dyDescent="0.15">
      <c r="B101" s="48">
        <v>63</v>
      </c>
      <c r="C101" s="81">
        <v>73498.071910220577</v>
      </c>
    </row>
    <row r="102" spans="2:3" x14ac:dyDescent="0.15">
      <c r="B102" s="48">
        <v>64</v>
      </c>
      <c r="C102" s="81">
        <v>106192.00625811842</v>
      </c>
    </row>
    <row r="103" spans="2:3" x14ac:dyDescent="0.15">
      <c r="B103" s="48">
        <v>65</v>
      </c>
      <c r="C103" s="81">
        <v>132105.56502516899</v>
      </c>
    </row>
    <row r="104" spans="2:3" x14ac:dyDescent="0.15">
      <c r="B104" s="48">
        <v>66</v>
      </c>
      <c r="C104" s="81">
        <v>171542.00235556072</v>
      </c>
    </row>
    <row r="105" spans="2:3" x14ac:dyDescent="0.15">
      <c r="B105" s="48">
        <v>67</v>
      </c>
      <c r="C105" s="81">
        <v>133193.69559894246</v>
      </c>
    </row>
    <row r="106" spans="2:3" x14ac:dyDescent="0.15">
      <c r="B106" s="48">
        <v>68</v>
      </c>
      <c r="C106" s="81">
        <v>103968.0395996492</v>
      </c>
    </row>
    <row r="107" spans="2:3" x14ac:dyDescent="0.15">
      <c r="B107" s="48">
        <v>69</v>
      </c>
      <c r="C107" s="81">
        <v>90451.408215229996</v>
      </c>
    </row>
    <row r="108" spans="2:3" x14ac:dyDescent="0.15">
      <c r="B108" s="48">
        <v>70</v>
      </c>
      <c r="C108" s="81">
        <v>172135.25723891912</v>
      </c>
    </row>
    <row r="109" spans="2:3" x14ac:dyDescent="0.15">
      <c r="B109" s="48">
        <v>71</v>
      </c>
      <c r="C109" s="81">
        <v>116245.30391348463</v>
      </c>
    </row>
    <row r="110" spans="2:3" x14ac:dyDescent="0.15">
      <c r="B110" s="48">
        <v>72</v>
      </c>
      <c r="C110" s="81">
        <v>95032.347287212353</v>
      </c>
    </row>
    <row r="111" spans="2:3" x14ac:dyDescent="0.15">
      <c r="B111" s="48">
        <v>73</v>
      </c>
      <c r="C111" s="81">
        <v>137968.97202897377</v>
      </c>
    </row>
    <row r="112" spans="2:3" x14ac:dyDescent="0.15">
      <c r="B112" s="48">
        <v>74</v>
      </c>
      <c r="C112" s="81">
        <v>150199.30234183976</v>
      </c>
    </row>
    <row r="113" spans="2:3" x14ac:dyDescent="0.15">
      <c r="B113" s="48">
        <v>75</v>
      </c>
      <c r="C113" s="81">
        <v>112597.55067584575</v>
      </c>
    </row>
    <row r="114" spans="2:3" x14ac:dyDescent="0.15">
      <c r="B114" s="48">
        <v>76</v>
      </c>
      <c r="C114" s="81">
        <v>126337.21619055211</v>
      </c>
    </row>
    <row r="115" spans="2:3" x14ac:dyDescent="0.15">
      <c r="B115" s="48">
        <v>77</v>
      </c>
      <c r="C115" s="81">
        <v>82241.335212601436</v>
      </c>
    </row>
    <row r="116" spans="2:3" x14ac:dyDescent="0.15">
      <c r="B116" s="48">
        <v>78</v>
      </c>
      <c r="C116" s="81">
        <v>78021.41938014295</v>
      </c>
    </row>
    <row r="117" spans="2:3" x14ac:dyDescent="0.15">
      <c r="B117" s="48">
        <v>79</v>
      </c>
      <c r="C117" s="81">
        <v>92321.085940678167</v>
      </c>
    </row>
    <row r="118" spans="2:3" x14ac:dyDescent="0.15">
      <c r="B118" s="48">
        <v>80</v>
      </c>
      <c r="C118" s="81">
        <v>188140.02438618688</v>
      </c>
    </row>
    <row r="119" spans="2:3" x14ac:dyDescent="0.15">
      <c r="B119" s="48">
        <v>81</v>
      </c>
      <c r="C119" s="81">
        <v>154232.63771734998</v>
      </c>
    </row>
    <row r="120" spans="2:3" x14ac:dyDescent="0.15">
      <c r="B120" s="48">
        <v>82</v>
      </c>
      <c r="C120" s="81">
        <v>150469.54886582738</v>
      </c>
    </row>
    <row r="121" spans="2:3" x14ac:dyDescent="0.15">
      <c r="B121" s="48">
        <v>83</v>
      </c>
      <c r="C121" s="81">
        <v>138512.30878323337</v>
      </c>
    </row>
    <row r="122" spans="2:3" x14ac:dyDescent="0.15">
      <c r="B122" s="48">
        <v>84</v>
      </c>
      <c r="C122" s="81">
        <v>123822.76834099164</v>
      </c>
    </row>
    <row r="123" spans="2:3" x14ac:dyDescent="0.15">
      <c r="B123" s="48">
        <v>85</v>
      </c>
      <c r="C123" s="81">
        <v>115374.27413516041</v>
      </c>
    </row>
    <row r="124" spans="2:3" x14ac:dyDescent="0.15">
      <c r="B124" s="48">
        <v>86</v>
      </c>
      <c r="C124" s="81">
        <v>159145.14447297863</v>
      </c>
    </row>
    <row r="125" spans="2:3" x14ac:dyDescent="0.15">
      <c r="B125" s="48">
        <v>87</v>
      </c>
      <c r="C125" s="81">
        <v>86488.326469802836</v>
      </c>
    </row>
    <row r="126" spans="2:3" x14ac:dyDescent="0.15">
      <c r="B126" s="48">
        <v>88</v>
      </c>
      <c r="C126" s="81">
        <v>203369.49387437225</v>
      </c>
    </row>
    <row r="127" spans="2:3" x14ac:dyDescent="0.15">
      <c r="B127" s="48">
        <v>89</v>
      </c>
      <c r="C127" s="81">
        <v>64318.452846790118</v>
      </c>
    </row>
    <row r="128" spans="2:3" x14ac:dyDescent="0.15">
      <c r="B128" s="48">
        <v>90</v>
      </c>
      <c r="C128" s="81">
        <v>79487.223198442996</v>
      </c>
    </row>
    <row r="129" spans="2:3" x14ac:dyDescent="0.15">
      <c r="B129" s="48">
        <v>91</v>
      </c>
      <c r="C129" s="81">
        <v>85684.583227613941</v>
      </c>
    </row>
    <row r="130" spans="2:3" x14ac:dyDescent="0.15">
      <c r="B130" s="48">
        <v>92</v>
      </c>
      <c r="C130" s="81">
        <v>75703.016342490941</v>
      </c>
    </row>
    <row r="131" spans="2:3" x14ac:dyDescent="0.15">
      <c r="B131" s="48">
        <v>93</v>
      </c>
      <c r="C131" s="81">
        <v>149699.4382779822</v>
      </c>
    </row>
    <row r="132" spans="2:3" x14ac:dyDescent="0.15">
      <c r="B132" s="48">
        <v>94</v>
      </c>
      <c r="C132" s="81">
        <v>86756.185533568743</v>
      </c>
    </row>
    <row r="133" spans="2:3" x14ac:dyDescent="0.15">
      <c r="B133" s="48">
        <v>95</v>
      </c>
      <c r="C133" s="81">
        <v>102049.03849452651</v>
      </c>
    </row>
    <row r="134" spans="2:3" x14ac:dyDescent="0.15">
      <c r="B134" s="48">
        <v>96</v>
      </c>
      <c r="C134" s="81">
        <v>160803.16058471211</v>
      </c>
    </row>
    <row r="135" spans="2:3" x14ac:dyDescent="0.15">
      <c r="B135" s="48">
        <v>97</v>
      </c>
      <c r="C135" s="81">
        <v>124332.23952457872</v>
      </c>
    </row>
    <row r="136" spans="2:3" x14ac:dyDescent="0.15">
      <c r="B136" s="48">
        <v>98</v>
      </c>
      <c r="C136" s="81">
        <v>60252.788265117582</v>
      </c>
    </row>
    <row r="137" spans="2:3" x14ac:dyDescent="0.15">
      <c r="B137" s="48">
        <v>99</v>
      </c>
      <c r="C137" s="81">
        <v>84232.977014040793</v>
      </c>
    </row>
    <row r="138" spans="2:3" x14ac:dyDescent="0.15">
      <c r="B138" s="48">
        <v>100</v>
      </c>
      <c r="C138" s="81">
        <v>50497.019845021998</v>
      </c>
    </row>
    <row r="139" spans="2:3" x14ac:dyDescent="0.15">
      <c r="B139" s="48">
        <v>101</v>
      </c>
      <c r="C139" s="81">
        <v>131740.77269333112</v>
      </c>
    </row>
    <row r="140" spans="2:3" x14ac:dyDescent="0.15">
      <c r="B140" s="48">
        <v>102</v>
      </c>
      <c r="C140" s="81">
        <v>101380.8362389453</v>
      </c>
    </row>
    <row r="141" spans="2:3" x14ac:dyDescent="0.15">
      <c r="B141" s="48">
        <v>103</v>
      </c>
      <c r="C141" s="81">
        <v>92358.96867349917</v>
      </c>
    </row>
    <row r="142" spans="2:3" x14ac:dyDescent="0.15">
      <c r="B142" s="48">
        <v>104</v>
      </c>
      <c r="C142" s="81">
        <v>161090.92974237248</v>
      </c>
    </row>
    <row r="143" spans="2:3" x14ac:dyDescent="0.15">
      <c r="B143" s="48">
        <v>105</v>
      </c>
      <c r="C143" s="81">
        <v>45982.823372365921</v>
      </c>
    </row>
    <row r="144" spans="2:3" x14ac:dyDescent="0.15">
      <c r="B144" s="48">
        <v>106</v>
      </c>
      <c r="C144" s="81">
        <v>102143.85046647098</v>
      </c>
    </row>
    <row r="145" spans="2:3" x14ac:dyDescent="0.15">
      <c r="B145" s="48">
        <v>107</v>
      </c>
      <c r="C145" s="81">
        <v>68084.880871146466</v>
      </c>
    </row>
    <row r="146" spans="2:3" x14ac:dyDescent="0.15">
      <c r="B146" s="48">
        <v>108</v>
      </c>
      <c r="C146" s="81">
        <v>133066.81120089619</v>
      </c>
    </row>
    <row r="147" spans="2:3" x14ac:dyDescent="0.15">
      <c r="B147" s="48">
        <v>109</v>
      </c>
      <c r="C147" s="81">
        <v>86579.96592863198</v>
      </c>
    </row>
    <row r="148" spans="2:3" x14ac:dyDescent="0.15">
      <c r="B148" s="48">
        <v>110</v>
      </c>
      <c r="C148" s="81">
        <v>23110.579346047602</v>
      </c>
    </row>
    <row r="149" spans="2:3" x14ac:dyDescent="0.15">
      <c r="B149" s="48">
        <v>111</v>
      </c>
      <c r="C149" s="81">
        <v>74642.433260863589</v>
      </c>
    </row>
    <row r="150" spans="2:3" x14ac:dyDescent="0.15">
      <c r="B150" s="48">
        <v>112</v>
      </c>
      <c r="C150" s="81">
        <v>130793.69664374864</v>
      </c>
    </row>
    <row r="151" spans="2:3" x14ac:dyDescent="0.15">
      <c r="B151" s="48">
        <v>113</v>
      </c>
      <c r="C151" s="81">
        <v>155238.7538429409</v>
      </c>
    </row>
    <row r="152" spans="2:3" x14ac:dyDescent="0.15">
      <c r="B152" s="48">
        <v>114</v>
      </c>
      <c r="C152" s="81">
        <v>87259.897751270633</v>
      </c>
    </row>
    <row r="153" spans="2:3" x14ac:dyDescent="0.15">
      <c r="B153" s="48">
        <v>115</v>
      </c>
      <c r="C153" s="81">
        <v>95080.401088953469</v>
      </c>
    </row>
    <row r="154" spans="2:3" x14ac:dyDescent="0.15">
      <c r="B154" s="48">
        <v>116</v>
      </c>
      <c r="C154" s="81">
        <v>20000</v>
      </c>
    </row>
    <row r="155" spans="2:3" x14ac:dyDescent="0.15">
      <c r="B155" s="48">
        <v>117</v>
      </c>
      <c r="C155" s="81">
        <v>93974.50877330231</v>
      </c>
    </row>
    <row r="156" spans="2:3" x14ac:dyDescent="0.15">
      <c r="B156" s="48">
        <v>118</v>
      </c>
      <c r="C156" s="81">
        <v>121481.21127017119</v>
      </c>
    </row>
    <row r="157" spans="2:3" x14ac:dyDescent="0.15">
      <c r="B157" s="48">
        <v>119</v>
      </c>
      <c r="C157" s="81">
        <v>105930.3020290951</v>
      </c>
    </row>
    <row r="158" spans="2:3" x14ac:dyDescent="0.15">
      <c r="B158" s="48">
        <v>120</v>
      </c>
      <c r="C158" s="81">
        <v>91495.749526728076</v>
      </c>
    </row>
    <row r="159" spans="2:3" x14ac:dyDescent="0.15">
      <c r="B159" s="48">
        <v>121</v>
      </c>
      <c r="C159" s="81">
        <v>78382.437192539524</v>
      </c>
    </row>
    <row r="160" spans="2:3" x14ac:dyDescent="0.15">
      <c r="B160" s="48">
        <v>122</v>
      </c>
      <c r="C160" s="81">
        <v>143935.44874089464</v>
      </c>
    </row>
    <row r="161" spans="2:3" x14ac:dyDescent="0.15">
      <c r="B161" s="48">
        <v>123</v>
      </c>
      <c r="C161" s="81">
        <v>134428.10286008226</v>
      </c>
    </row>
    <row r="162" spans="2:3" x14ac:dyDescent="0.15">
      <c r="B162" s="48">
        <v>124</v>
      </c>
      <c r="C162" s="81">
        <v>122999.32686297341</v>
      </c>
    </row>
    <row r="163" spans="2:3" x14ac:dyDescent="0.15">
      <c r="B163" s="48">
        <v>125</v>
      </c>
      <c r="C163" s="81">
        <v>106740.9844083866</v>
      </c>
    </row>
    <row r="164" spans="2:3" x14ac:dyDescent="0.15">
      <c r="B164" s="48">
        <v>126</v>
      </c>
      <c r="C164" s="81">
        <v>87947.463307854399</v>
      </c>
    </row>
    <row r="165" spans="2:3" x14ac:dyDescent="0.15">
      <c r="B165" s="48">
        <v>127</v>
      </c>
      <c r="C165" s="81">
        <v>100687.47640202825</v>
      </c>
    </row>
    <row r="166" spans="2:3" x14ac:dyDescent="0.15">
      <c r="B166" s="48">
        <v>128</v>
      </c>
      <c r="C166" s="81">
        <v>195382.75462359091</v>
      </c>
    </row>
    <row r="167" spans="2:3" x14ac:dyDescent="0.15">
      <c r="B167" s="48">
        <v>129</v>
      </c>
      <c r="C167" s="81">
        <v>97128.763676108749</v>
      </c>
    </row>
    <row r="168" spans="2:3" x14ac:dyDescent="0.15">
      <c r="B168" s="48">
        <v>130</v>
      </c>
      <c r="C168" s="81">
        <v>76966.356190838836</v>
      </c>
    </row>
    <row r="169" spans="2:3" x14ac:dyDescent="0.15">
      <c r="B169" s="48">
        <v>131</v>
      </c>
      <c r="C169" s="81">
        <v>155239.57779207538</v>
      </c>
    </row>
    <row r="170" spans="2:3" x14ac:dyDescent="0.15">
      <c r="B170" s="48">
        <v>132</v>
      </c>
      <c r="C170" s="81">
        <v>133389.04311556605</v>
      </c>
    </row>
    <row r="171" spans="2:3" x14ac:dyDescent="0.15">
      <c r="B171" s="48">
        <v>133</v>
      </c>
      <c r="C171" s="81">
        <v>112135.8881186674</v>
      </c>
    </row>
    <row r="172" spans="2:3" x14ac:dyDescent="0.15">
      <c r="B172" s="48">
        <v>134</v>
      </c>
      <c r="C172" s="81">
        <v>154190.51935596549</v>
      </c>
    </row>
    <row r="173" spans="2:3" x14ac:dyDescent="0.15">
      <c r="B173" s="48">
        <v>135</v>
      </c>
      <c r="C173" s="81">
        <v>133920.44246113702</v>
      </c>
    </row>
    <row r="174" spans="2:3" x14ac:dyDescent="0.15">
      <c r="B174" s="48">
        <v>136</v>
      </c>
      <c r="C174" s="81">
        <v>143995.55949531906</v>
      </c>
    </row>
    <row r="175" spans="2:3" x14ac:dyDescent="0.15">
      <c r="B175" s="48">
        <v>137</v>
      </c>
      <c r="C175" s="81">
        <v>103514.65352355242</v>
      </c>
    </row>
    <row r="176" spans="2:3" x14ac:dyDescent="0.15">
      <c r="B176" s="48">
        <v>138</v>
      </c>
      <c r="C176" s="81">
        <v>112218.2716300515</v>
      </c>
    </row>
    <row r="177" spans="2:3" x14ac:dyDescent="0.15">
      <c r="B177" s="48">
        <v>139</v>
      </c>
      <c r="C177" s="81">
        <v>170324.57714305283</v>
      </c>
    </row>
    <row r="178" spans="2:3" x14ac:dyDescent="0.15">
      <c r="B178" s="48">
        <v>140</v>
      </c>
      <c r="C178" s="81">
        <v>84241.732356083259</v>
      </c>
    </row>
    <row r="179" spans="2:3" x14ac:dyDescent="0.15">
      <c r="B179" s="48">
        <v>141</v>
      </c>
      <c r="C179" s="81">
        <v>84066.182690157206</v>
      </c>
    </row>
    <row r="180" spans="2:3" x14ac:dyDescent="0.15">
      <c r="B180" s="48">
        <v>142</v>
      </c>
      <c r="C180" s="81">
        <v>68747.044222258439</v>
      </c>
    </row>
    <row r="181" spans="2:3" x14ac:dyDescent="0.15">
      <c r="B181" s="48">
        <v>143</v>
      </c>
      <c r="C181" s="81">
        <v>97093.11002838632</v>
      </c>
    </row>
    <row r="182" spans="2:3" x14ac:dyDescent="0.15">
      <c r="B182" s="48">
        <v>144</v>
      </c>
      <c r="C182" s="81">
        <v>141899.50988491619</v>
      </c>
    </row>
    <row r="183" spans="2:3" x14ac:dyDescent="0.15">
      <c r="B183" s="48">
        <v>145</v>
      </c>
      <c r="C183" s="81">
        <v>179573.37129984109</v>
      </c>
    </row>
    <row r="184" spans="2:3" x14ac:dyDescent="0.15">
      <c r="B184" s="48">
        <v>146</v>
      </c>
      <c r="C184" s="81">
        <v>130978.7606313561</v>
      </c>
    </row>
    <row r="185" spans="2:3" x14ac:dyDescent="0.15">
      <c r="B185" s="48">
        <v>147</v>
      </c>
      <c r="C185" s="81">
        <v>115805.1912457209</v>
      </c>
    </row>
    <row r="186" spans="2:3" x14ac:dyDescent="0.15">
      <c r="B186" s="48">
        <v>148</v>
      </c>
      <c r="C186" s="81">
        <v>71114.263692098306</v>
      </c>
    </row>
    <row r="187" spans="2:3" x14ac:dyDescent="0.15">
      <c r="B187" s="48">
        <v>149</v>
      </c>
      <c r="C187" s="81">
        <v>90140.242657358453</v>
      </c>
    </row>
    <row r="188" spans="2:3" x14ac:dyDescent="0.15">
      <c r="B188" s="48">
        <v>150</v>
      </c>
      <c r="C188" s="81">
        <v>133538.63785800137</v>
      </c>
    </row>
    <row r="189" spans="2:3" x14ac:dyDescent="0.15">
      <c r="B189" s="48">
        <v>151</v>
      </c>
      <c r="C189" s="81">
        <v>119012.52933297213</v>
      </c>
    </row>
    <row r="190" spans="2:3" x14ac:dyDescent="0.15">
      <c r="B190" s="48">
        <v>152</v>
      </c>
      <c r="C190" s="81">
        <v>88166.114280289155</v>
      </c>
    </row>
    <row r="191" spans="2:3" x14ac:dyDescent="0.15">
      <c r="B191" s="48">
        <v>153</v>
      </c>
      <c r="C191" s="81">
        <v>89181.174191033642</v>
      </c>
    </row>
    <row r="192" spans="2:3" x14ac:dyDescent="0.15">
      <c r="B192" s="48">
        <v>154</v>
      </c>
      <c r="C192" s="81">
        <v>65877.430025400972</v>
      </c>
    </row>
    <row r="193" spans="2:3" x14ac:dyDescent="0.15">
      <c r="B193" s="48">
        <v>155</v>
      </c>
      <c r="C193" s="81">
        <v>84305.085122374076</v>
      </c>
    </row>
    <row r="194" spans="2:3" x14ac:dyDescent="0.15">
      <c r="B194" s="48">
        <v>156</v>
      </c>
      <c r="C194" s="81">
        <v>60094.084271553736</v>
      </c>
    </row>
    <row r="195" spans="2:3" x14ac:dyDescent="0.15">
      <c r="B195" s="48">
        <v>157</v>
      </c>
      <c r="C195" s="81">
        <v>92374.508563379539</v>
      </c>
    </row>
    <row r="196" spans="2:3" x14ac:dyDescent="0.15">
      <c r="B196" s="48">
        <v>158</v>
      </c>
      <c r="C196" s="81">
        <v>102512.00525151257</v>
      </c>
    </row>
    <row r="197" spans="2:3" x14ac:dyDescent="0.15">
      <c r="B197" s="48">
        <v>159</v>
      </c>
      <c r="C197" s="81">
        <v>106329.94994603869</v>
      </c>
    </row>
    <row r="198" spans="2:3" x14ac:dyDescent="0.15">
      <c r="B198" s="48">
        <v>160</v>
      </c>
      <c r="C198" s="81">
        <v>110813.66738561017</v>
      </c>
    </row>
    <row r="199" spans="2:3" x14ac:dyDescent="0.15">
      <c r="B199" s="48">
        <v>161</v>
      </c>
      <c r="C199" s="81">
        <v>103140.84229473681</v>
      </c>
    </row>
    <row r="200" spans="2:3" x14ac:dyDescent="0.15">
      <c r="B200" s="48">
        <v>162</v>
      </c>
      <c r="C200" s="81">
        <v>132557.93812710911</v>
      </c>
    </row>
    <row r="201" spans="2:3" x14ac:dyDescent="0.15">
      <c r="B201" s="48">
        <v>163</v>
      </c>
      <c r="C201" s="81">
        <v>56036.134143190902</v>
      </c>
    </row>
    <row r="202" spans="2:3" x14ac:dyDescent="0.15">
      <c r="B202" s="48">
        <v>164</v>
      </c>
      <c r="C202" s="81">
        <v>139002.6868875045</v>
      </c>
    </row>
    <row r="203" spans="2:3" x14ac:dyDescent="0.15">
      <c r="B203" s="48">
        <v>165</v>
      </c>
      <c r="C203" s="81">
        <v>92493.400114008517</v>
      </c>
    </row>
    <row r="204" spans="2:3" x14ac:dyDescent="0.15">
      <c r="B204" s="48">
        <v>166</v>
      </c>
      <c r="C204" s="81">
        <v>110702.65455250116</v>
      </c>
    </row>
    <row r="205" spans="2:3" x14ac:dyDescent="0.15">
      <c r="B205" s="48">
        <v>167</v>
      </c>
      <c r="C205" s="81">
        <v>77074.769382680097</v>
      </c>
    </row>
    <row r="206" spans="2:3" x14ac:dyDescent="0.15">
      <c r="B206" s="48">
        <v>168</v>
      </c>
      <c r="C206" s="81">
        <v>62619.63873467454</v>
      </c>
    </row>
    <row r="207" spans="2:3" x14ac:dyDescent="0.15">
      <c r="B207" s="48">
        <v>169</v>
      </c>
      <c r="C207" s="81">
        <v>90091.696325286641</v>
      </c>
    </row>
    <row r="208" spans="2:3" x14ac:dyDescent="0.15">
      <c r="B208" s="48">
        <v>170</v>
      </c>
      <c r="C208" s="81">
        <v>135322.01927945012</v>
      </c>
    </row>
    <row r="209" spans="2:3" x14ac:dyDescent="0.15">
      <c r="B209" s="48">
        <v>171</v>
      </c>
      <c r="C209" s="81">
        <v>102907.88959316725</v>
      </c>
    </row>
    <row r="210" spans="2:3" x14ac:dyDescent="0.15">
      <c r="B210" s="48">
        <v>172</v>
      </c>
      <c r="C210" s="81">
        <v>44905.715180633029</v>
      </c>
    </row>
    <row r="211" spans="2:3" x14ac:dyDescent="0.15">
      <c r="B211" s="48">
        <v>173</v>
      </c>
      <c r="C211" s="81">
        <v>87488.745611381004</v>
      </c>
    </row>
    <row r="212" spans="2:3" x14ac:dyDescent="0.15">
      <c r="B212" s="48">
        <v>174</v>
      </c>
      <c r="C212" s="81">
        <v>65363.346639455194</v>
      </c>
    </row>
    <row r="213" spans="2:3" x14ac:dyDescent="0.15">
      <c r="B213" s="48">
        <v>175</v>
      </c>
      <c r="C213" s="81">
        <v>66367.418039527183</v>
      </c>
    </row>
    <row r="214" spans="2:3" x14ac:dyDescent="0.15">
      <c r="B214" s="48">
        <v>176</v>
      </c>
      <c r="C214" s="81">
        <v>41022.704451502155</v>
      </c>
    </row>
    <row r="215" spans="2:3" x14ac:dyDescent="0.15">
      <c r="B215" s="48">
        <v>177</v>
      </c>
      <c r="C215" s="81">
        <v>139310.69763050677</v>
      </c>
    </row>
    <row r="216" spans="2:3" x14ac:dyDescent="0.15">
      <c r="B216" s="48">
        <v>178</v>
      </c>
      <c r="C216" s="81">
        <v>149615.61558788805</v>
      </c>
    </row>
    <row r="217" spans="2:3" x14ac:dyDescent="0.15">
      <c r="B217" s="48">
        <v>179</v>
      </c>
      <c r="C217" s="81">
        <v>90147.542806354293</v>
      </c>
    </row>
    <row r="218" spans="2:3" x14ac:dyDescent="0.15">
      <c r="B218" s="48">
        <v>180</v>
      </c>
      <c r="C218" s="81">
        <v>137951.13771904452</v>
      </c>
    </row>
    <row r="219" spans="2:3" x14ac:dyDescent="0.15">
      <c r="B219" s="48">
        <v>181</v>
      </c>
      <c r="C219" s="81">
        <v>118691.87851694541</v>
      </c>
    </row>
    <row r="220" spans="2:3" x14ac:dyDescent="0.15">
      <c r="B220" s="48">
        <v>182</v>
      </c>
      <c r="C220" s="81">
        <v>50790.192573675486</v>
      </c>
    </row>
    <row r="221" spans="2:3" x14ac:dyDescent="0.15">
      <c r="B221" s="48">
        <v>183</v>
      </c>
      <c r="C221" s="81">
        <v>141050.51380687265</v>
      </c>
    </row>
    <row r="222" spans="2:3" x14ac:dyDescent="0.15">
      <c r="B222" s="48">
        <v>184</v>
      </c>
      <c r="C222" s="81">
        <v>170930.78165325866</v>
      </c>
    </row>
    <row r="223" spans="2:3" x14ac:dyDescent="0.15">
      <c r="B223" s="48">
        <v>185</v>
      </c>
      <c r="C223" s="81">
        <v>179476.04864885006</v>
      </c>
    </row>
    <row r="224" spans="2:3" x14ac:dyDescent="0.15">
      <c r="B224" s="48">
        <v>186</v>
      </c>
      <c r="C224" s="81">
        <v>80186.319126535047</v>
      </c>
    </row>
    <row r="225" spans="2:3" x14ac:dyDescent="0.15">
      <c r="B225" s="48">
        <v>187</v>
      </c>
      <c r="C225" s="81">
        <v>74702.303219381836</v>
      </c>
    </row>
    <row r="226" spans="2:3" x14ac:dyDescent="0.15">
      <c r="B226" s="48">
        <v>188</v>
      </c>
      <c r="C226" s="81">
        <v>172091.2825629517</v>
      </c>
    </row>
    <row r="227" spans="2:3" x14ac:dyDescent="0.15">
      <c r="B227" s="48">
        <v>189</v>
      </c>
      <c r="C227" s="81">
        <v>104015.41344164318</v>
      </c>
    </row>
    <row r="228" spans="2:3" x14ac:dyDescent="0.15">
      <c r="B228" s="48">
        <v>190</v>
      </c>
      <c r="C228" s="81">
        <v>163617.47544433232</v>
      </c>
    </row>
    <row r="229" spans="2:3" x14ac:dyDescent="0.15">
      <c r="B229" s="48">
        <v>191</v>
      </c>
      <c r="C229" s="81">
        <v>164151.82051251741</v>
      </c>
    </row>
    <row r="230" spans="2:3" x14ac:dyDescent="0.15">
      <c r="B230" s="48">
        <v>192</v>
      </c>
      <c r="C230" s="81">
        <v>99216.468122715392</v>
      </c>
    </row>
    <row r="231" spans="2:3" x14ac:dyDescent="0.15">
      <c r="B231" s="48">
        <v>193</v>
      </c>
      <c r="C231" s="81">
        <v>52114.797116413254</v>
      </c>
    </row>
    <row r="232" spans="2:3" x14ac:dyDescent="0.15">
      <c r="B232" s="48">
        <v>194</v>
      </c>
      <c r="C232" s="81">
        <v>121158.6348736841</v>
      </c>
    </row>
    <row r="233" spans="2:3" x14ac:dyDescent="0.15">
      <c r="B233" s="48">
        <v>195</v>
      </c>
      <c r="C233" s="81">
        <v>106348.99307438568</v>
      </c>
    </row>
    <row r="234" spans="2:3" x14ac:dyDescent="0.15">
      <c r="B234" s="48">
        <v>196</v>
      </c>
      <c r="C234" s="81">
        <v>108014.84528786644</v>
      </c>
    </row>
    <row r="235" spans="2:3" x14ac:dyDescent="0.15">
      <c r="B235" s="48">
        <v>197</v>
      </c>
      <c r="C235" s="81">
        <v>89570.083980136696</v>
      </c>
    </row>
    <row r="236" spans="2:3" x14ac:dyDescent="0.15">
      <c r="B236" s="48">
        <v>198</v>
      </c>
      <c r="C236" s="81">
        <v>78677.715802926381</v>
      </c>
    </row>
    <row r="237" spans="2:3" x14ac:dyDescent="0.15">
      <c r="B237" s="48">
        <v>199</v>
      </c>
      <c r="C237" s="81">
        <v>98477.759382034841</v>
      </c>
    </row>
    <row r="238" spans="2:3" x14ac:dyDescent="0.15">
      <c r="B238" s="48">
        <v>200</v>
      </c>
      <c r="C238" s="81">
        <v>117939.49772678837</v>
      </c>
    </row>
    <row r="1000" spans="648:648" ht="16" x14ac:dyDescent="0.2">
      <c r="XX1000" s="83">
        <v>82026</v>
      </c>
    </row>
  </sheetData>
  <printOptions headings="1" gridLines="1"/>
  <pageMargins left="0.75" right="0.75" top="1" bottom="1" header="0.5" footer="0.5"/>
  <pageSetup scale="35" orientation="portrait" horizontalDpi="4294967292" verticalDpi="4294967292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59</vt:i4>
      </vt:variant>
    </vt:vector>
  </HeadingPairs>
  <TitlesOfParts>
    <vt:vector size="64" baseType="lpstr">
      <vt:lpstr>Question 1C</vt:lpstr>
      <vt:lpstr>Question 2C</vt:lpstr>
      <vt:lpstr>Question 3</vt:lpstr>
      <vt:lpstr>Question 4</vt:lpstr>
      <vt:lpstr>Simulation</vt:lpstr>
      <vt:lpstr>ActualSales</vt:lpstr>
      <vt:lpstr>BalanceBeforeLoan</vt:lpstr>
      <vt:lpstr>BaseSales</vt:lpstr>
      <vt:lpstr>BeginningBalance</vt:lpstr>
      <vt:lpstr>'Question 2C'!Capable</vt:lpstr>
      <vt:lpstr>'Question 2C'!Capacity</vt:lpstr>
      <vt:lpstr>CashReceipts</vt:lpstr>
      <vt:lpstr>'Question 1C'!Cost</vt:lpstr>
      <vt:lpstr>CreditReceipts</vt:lpstr>
      <vt:lpstr>'Question 3'!Distance</vt:lpstr>
      <vt:lpstr>EndingBalance</vt:lpstr>
      <vt:lpstr>FixedCost</vt:lpstr>
      <vt:lpstr>FractionCashCustomers</vt:lpstr>
      <vt:lpstr>'Question 1C'!From</vt:lpstr>
      <vt:lpstr>'Question 2C'!From</vt:lpstr>
      <vt:lpstr>'Question 3'!From</vt:lpstr>
      <vt:lpstr>'Question 4'!L</vt:lpstr>
      <vt:lpstr>'Question 4'!Lambda</vt:lpstr>
      <vt:lpstr>LoanInterest</vt:lpstr>
      <vt:lpstr>LoanPayoff</vt:lpstr>
      <vt:lpstr>LoanRate</vt:lpstr>
      <vt:lpstr>'Question 4'!Lq</vt:lpstr>
      <vt:lpstr>'Question 2C'!MaximumFlow</vt:lpstr>
      <vt:lpstr>'Question 4'!Mu</vt:lpstr>
      <vt:lpstr>'Question 4'!n</vt:lpstr>
      <vt:lpstr>'Question 1C'!NetFlow</vt:lpstr>
      <vt:lpstr>'Question 2C'!NetFlow</vt:lpstr>
      <vt:lpstr>'Question 3'!NetFlow</vt:lpstr>
      <vt:lpstr>NewLoan</vt:lpstr>
      <vt:lpstr>'Question 1C'!Nodes</vt:lpstr>
      <vt:lpstr>'Question 2C'!Nodes</vt:lpstr>
      <vt:lpstr>'Question 3'!Nodes</vt:lpstr>
      <vt:lpstr>'Question 3'!OnRoute</vt:lpstr>
      <vt:lpstr>'Question 4'!P0</vt:lpstr>
      <vt:lpstr>'Question 4'!Pn</vt:lpstr>
      <vt:lpstr>PrimeRate</vt:lpstr>
      <vt:lpstr>PrimeRateChange</vt:lpstr>
      <vt:lpstr>RepairCost</vt:lpstr>
      <vt:lpstr>ReplacementPartCost</vt:lpstr>
      <vt:lpstr>ReplacementPartsNeeded</vt:lpstr>
      <vt:lpstr>'Question 4'!Rho</vt:lpstr>
      <vt:lpstr>'Question 4'!s</vt:lpstr>
      <vt:lpstr>SavingsInterest</vt:lpstr>
      <vt:lpstr>SavingsRate</vt:lpstr>
      <vt:lpstr>SeasonalityIndex</vt:lpstr>
      <vt:lpstr>'Question 1C'!Ship</vt:lpstr>
      <vt:lpstr>'Question 2C'!Ship</vt:lpstr>
      <vt:lpstr>'Question 3'!ShortestTime</vt:lpstr>
      <vt:lpstr>'Question 1C'!SupplyDemand</vt:lpstr>
      <vt:lpstr>'Question 2C'!SupplyDemand</vt:lpstr>
      <vt:lpstr>'Question 3'!SupplyDemand</vt:lpstr>
      <vt:lpstr>'Question 1C'!To</vt:lpstr>
      <vt:lpstr>'Question 2C'!To</vt:lpstr>
      <vt:lpstr>'Question 3'!To</vt:lpstr>
      <vt:lpstr>'Question 1C'!TotalCost</vt:lpstr>
      <vt:lpstr>TotalVariableCost</vt:lpstr>
      <vt:lpstr>VariableCost</vt:lpstr>
      <vt:lpstr>'Question 4'!W</vt:lpstr>
      <vt:lpstr>'Question 4'!Wq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Ford Peyton</dc:creator>
  <cp:lastModifiedBy>Owen Patrick Sullivan</cp:lastModifiedBy>
  <cp:lastPrinted>2021-10-08T17:06:27Z</cp:lastPrinted>
  <dcterms:created xsi:type="dcterms:W3CDTF">2021-10-08T16:40:18Z</dcterms:created>
  <dcterms:modified xsi:type="dcterms:W3CDTF">2023-11-28T21:47:12Z</dcterms:modified>
</cp:coreProperties>
</file>