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ate1904="1" codeName="ThisWorkbook"/>
  <mc:AlternateContent xmlns:mc="http://schemas.openxmlformats.org/markup-compatibility/2006">
    <mc:Choice Requires="x15">
      <x15ac:absPath xmlns:x15ac="http://schemas.microsoft.com/office/spreadsheetml/2010/11/ac" url="https://clemson-my.sharepoint.com/personal/dpeyton_clemson_edu/Documents/3. Fall Powerpoints/10. Chapter 13 Queueing Models/"/>
    </mc:Choice>
  </mc:AlternateContent>
  <xr:revisionPtr revIDLastSave="136" documentId="8_{0BB7F807-C4E5-414C-A9DF-4F1640F4FBD9}" xr6:coauthVersionLast="47" xr6:coauthVersionMax="47" xr10:uidLastSave="{9A79F12F-CFC6-4B46-BE83-B991262CDF4E}"/>
  <bookViews>
    <workbookView xWindow="4755" yWindow="735" windowWidth="21600" windowHeight="11385" xr2:uid="{00000000-000D-0000-FFFF-FFFF00000000}"/>
  </bookViews>
  <sheets>
    <sheet name="M|M|1" sheetId="1" r:id="rId1"/>
    <sheet name="M|M|1 (Phixitt)" sheetId="2" r:id="rId2"/>
    <sheet name="M|G|1" sheetId="3" r:id="rId3"/>
    <sheet name="M|M|s" sheetId="4" r:id="rId4"/>
    <sheet name="M|M|s (CFO change2)" sheetId="5" r:id="rId5"/>
    <sheet name="M|M|s (CFO change3)" sheetId="6" r:id="rId6"/>
    <sheet name="Nonpreemptive Priorities" sheetId="7" r:id="rId7"/>
    <sheet name="Nonpreemptive Priorities (2)" sheetId="8" r:id="rId8"/>
    <sheet name="Economic Analysis" sheetId="9" r:id="rId9"/>
  </sheets>
  <definedNames>
    <definedName name="CostOfService">'Economic Analysis'!$C$18</definedName>
    <definedName name="CostOfWaiting">'Economic Analysis'!$C$19</definedName>
    <definedName name="Cs">'Economic Analysis'!$C$15</definedName>
    <definedName name="Cw">'Economic Analysis'!$C$16</definedName>
    <definedName name="L" localSheetId="8">'Economic Analysis'!$G$4</definedName>
    <definedName name="L" localSheetId="2">'M|G|1'!$G$4</definedName>
    <definedName name="L" localSheetId="1">'M|M|1 (Phixitt)'!$H$4</definedName>
    <definedName name="L" localSheetId="3">'M|M|s'!$H$4</definedName>
    <definedName name="L" localSheetId="4">'M|M|s (CFO change2)'!$H$4</definedName>
    <definedName name="L" localSheetId="5">'M|M|s (CFO change3)'!$H$4</definedName>
    <definedName name="L" localSheetId="6">'Nonpreemptive Priorities'!$D$10:$D$14</definedName>
    <definedName name="L" localSheetId="7">'Nonpreemptive Priorities (2)'!$D$10:$D$14</definedName>
    <definedName name="L">'M|M|1'!$H$4</definedName>
    <definedName name="Lambda" localSheetId="8">'Economic Analysis'!$C$4</definedName>
    <definedName name="Lambda" localSheetId="2">'M|G|1'!$C$4</definedName>
    <definedName name="Lambda" localSheetId="1">'M|M|1 (Phixitt)'!$C$4</definedName>
    <definedName name="Lambda" localSheetId="3">'M|M|s'!$C$4</definedName>
    <definedName name="Lambda" localSheetId="4">'M|M|s (CFO change2)'!$C$4</definedName>
    <definedName name="Lambda" localSheetId="5">'M|M|s (CFO change3)'!$C$4</definedName>
    <definedName name="Lambda" localSheetId="6">'Nonpreemptive Priorities'!$C$16</definedName>
    <definedName name="Lambda" localSheetId="7">'Nonpreemptive Priorities (2)'!$C$16</definedName>
    <definedName name="Lambda">'M|M|1'!$C$4</definedName>
    <definedName name="Lambdai" localSheetId="7">'Nonpreemptive Priorities (2)'!$C$10:$C$14</definedName>
    <definedName name="Lambdai">'Nonpreemptive Priorities'!$C$10:$C$14</definedName>
    <definedName name="Lq" localSheetId="8">'Economic Analysis'!$G$5</definedName>
    <definedName name="Lq" localSheetId="2">'M|G|1'!$G$5</definedName>
    <definedName name="Lq" localSheetId="1">'M|M|1 (Phixitt)'!$H$5</definedName>
    <definedName name="Lq" localSheetId="3">'M|M|s'!$H$5</definedName>
    <definedName name="Lq" localSheetId="4">'M|M|s (CFO change2)'!$H$5</definedName>
    <definedName name="Lq" localSheetId="5">'M|M|s (CFO change3)'!$H$5</definedName>
    <definedName name="Lq" localSheetId="6">'Nonpreemptive Priorities'!$E$10:$E$14</definedName>
    <definedName name="Lq" localSheetId="7">'Nonpreemptive Priorities (2)'!$E$10:$E$14</definedName>
    <definedName name="Lq">'M|M|1'!$H$5</definedName>
    <definedName name="Mu" localSheetId="8">'Economic Analysis'!$C$5</definedName>
    <definedName name="Mu" localSheetId="1">'M|M|1 (Phixitt)'!$C$5</definedName>
    <definedName name="Mu" localSheetId="3">'M|M|s'!$C$5</definedName>
    <definedName name="Mu" localSheetId="4">'M|M|s (CFO change2)'!$C$5</definedName>
    <definedName name="Mu" localSheetId="5">'M|M|s (CFO change3)'!$C$5</definedName>
    <definedName name="Mu" localSheetId="6">'Nonpreemptive Priorities'!$C$5</definedName>
    <definedName name="Mu" localSheetId="7">'Nonpreemptive Priorities (2)'!$C$5</definedName>
    <definedName name="Mu">'M|M|1'!$C$5</definedName>
    <definedName name="n" localSheetId="8">'Economic Analysis'!$F$13:$F$38</definedName>
    <definedName name="n" localSheetId="1">'M|M|1 (Phixitt)'!$G$13:$G$38</definedName>
    <definedName name="n" localSheetId="3">'M|M|s'!$G$13:$G$38</definedName>
    <definedName name="n" localSheetId="4">'M|M|s (CFO change2)'!$G$13:$G$38</definedName>
    <definedName name="n" localSheetId="5">'M|M|s (CFO change3)'!$G$13:$G$38</definedName>
    <definedName name="n" localSheetId="6">'Nonpreemptive Priorities'!$C$4</definedName>
    <definedName name="n" localSheetId="7">'Nonpreemptive Priorities (2)'!$C$4</definedName>
    <definedName name="n">'M|M|1'!$G$13:$G$38</definedName>
    <definedName name="OneOverMu">'M|G|1'!$C$5</definedName>
    <definedName name="P0" localSheetId="8">'Economic Analysis'!$G$13</definedName>
    <definedName name="P0" localSheetId="1">'M|M|1 (Phixitt)'!$H$13</definedName>
    <definedName name="P0" localSheetId="3">'M|M|s'!$H$13</definedName>
    <definedName name="P0" localSheetId="4">'M|M|s (CFO change2)'!$H$13</definedName>
    <definedName name="P0" localSheetId="5">'M|M|s (CFO change3)'!$H$13</definedName>
    <definedName name="P0">'M|M|1'!$H$13</definedName>
    <definedName name="Pn" localSheetId="8">'Economic Analysis'!$G$13:$G$38</definedName>
    <definedName name="Pn" localSheetId="1">'M|M|1 (Phixitt)'!$H$13:$H$38</definedName>
    <definedName name="Pn" localSheetId="3">'M|M|s'!$H$13:$H$38</definedName>
    <definedName name="Pn" localSheetId="4">'M|M|s (CFO change2)'!$H$13:$H$38</definedName>
    <definedName name="Pn" localSheetId="5">'M|M|s (CFO change3)'!$H$13:$H$38</definedName>
    <definedName name="Pn">'M|M|1'!$H$13:$H$38</definedName>
    <definedName name="Rho" localSheetId="8">'Economic Analysis'!$G$10</definedName>
    <definedName name="Rho" localSheetId="2">'M|G|1'!$G$10</definedName>
    <definedName name="Rho" localSheetId="1">'M|M|1 (Phixitt)'!$H$10</definedName>
    <definedName name="Rho" localSheetId="3">'M|M|s'!$H$10</definedName>
    <definedName name="Rho" localSheetId="4">'M|M|s (CFO change2)'!$H$10</definedName>
    <definedName name="Rho" localSheetId="5">'M|M|s (CFO change3)'!$H$10</definedName>
    <definedName name="Rho" localSheetId="6">'Nonpreemptive Priorities'!$C$17</definedName>
    <definedName name="Rho" localSheetId="7">'Nonpreemptive Priorities (2)'!$C$17</definedName>
    <definedName name="Rho">'M|M|1'!$H$10</definedName>
    <definedName name="s" localSheetId="8">'Economic Analysis'!$C$6</definedName>
    <definedName name="s" localSheetId="2">'M|G|1'!$C$7</definedName>
    <definedName name="s" localSheetId="1">'M|M|1 (Phixitt)'!$C$6</definedName>
    <definedName name="s" localSheetId="3">'M|M|s'!$C$6</definedName>
    <definedName name="s" localSheetId="4">'M|M|s (CFO change2)'!$C$6</definedName>
    <definedName name="s" localSheetId="5">'M|M|s (CFO change3)'!$C$6</definedName>
    <definedName name="s" localSheetId="6">'Nonpreemptive Priorities'!$C$6</definedName>
    <definedName name="s" localSheetId="7">'Nonpreemptive Priorities (2)'!$C$6</definedName>
    <definedName name="s">'M|M|1'!$C$6</definedName>
    <definedName name="sencount" hidden="1">4</definedName>
    <definedName name="sencount2" hidden="1">3</definedName>
    <definedName name="Sigma">'M|G|1'!$C$6</definedName>
    <definedName name="Time1">'Economic Analysis'!$C$9</definedName>
    <definedName name="Time2">'Economic Analysis'!$C$12</definedName>
    <definedName name="TotalCost">'Economic Analysis'!$C$20</definedName>
    <definedName name="W" localSheetId="8">'Economic Analysis'!$G$7</definedName>
    <definedName name="W" localSheetId="2">'M|G|1'!$G$7</definedName>
    <definedName name="W" localSheetId="1">'M|M|1 (Phixitt)'!$H$7</definedName>
    <definedName name="W" localSheetId="3">'M|M|s'!$H$7</definedName>
    <definedName name="W" localSheetId="4">'M|M|s (CFO change2)'!$H$7</definedName>
    <definedName name="W" localSheetId="5">'M|M|s (CFO change3)'!$H$7</definedName>
    <definedName name="W" localSheetId="6">'Nonpreemptive Priorities'!$F$10:$F$14</definedName>
    <definedName name="W" localSheetId="7">'Nonpreemptive Priorities (2)'!$F$10:$F$14</definedName>
    <definedName name="W">'M|M|1'!$H$7</definedName>
    <definedName name="Wq" localSheetId="8">'Economic Analysis'!$G$8</definedName>
    <definedName name="Wq" localSheetId="2">'M|G|1'!$G$8</definedName>
    <definedName name="Wq" localSheetId="1">'M|M|1 (Phixitt)'!$H$8</definedName>
    <definedName name="Wq" localSheetId="3">'M|M|s'!$H$8</definedName>
    <definedName name="Wq" localSheetId="4">'M|M|s (CFO change2)'!$H$8</definedName>
    <definedName name="Wq" localSheetId="5">'M|M|s (CFO change3)'!$H$8</definedName>
    <definedName name="Wq" localSheetId="6">'Nonpreemptive Priorities'!$G$10:$G$14</definedName>
    <definedName name="Wq" localSheetId="7">'Nonpreemptive Priorities (2)'!$G$10:$G$14</definedName>
    <definedName name="Wq">'M|M|1'!$H$8</definedName>
  </definedName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4" i="2" l="1"/>
  <c r="A38" i="9"/>
  <c r="A37" i="9"/>
  <c r="A36" i="9"/>
  <c r="A35" i="9"/>
  <c r="A34" i="9"/>
  <c r="A33" i="9"/>
  <c r="A32" i="9"/>
  <c r="A31" i="9"/>
  <c r="A30" i="9"/>
  <c r="A29" i="9"/>
  <c r="A28" i="9"/>
  <c r="A27" i="9"/>
  <c r="A26" i="9"/>
  <c r="A25" i="9"/>
  <c r="A24" i="9"/>
  <c r="A23" i="9"/>
  <c r="A22" i="9"/>
  <c r="A21" i="9"/>
  <c r="A20" i="9"/>
  <c r="A19" i="9"/>
  <c r="C18" i="9"/>
  <c r="A18" i="9"/>
  <c r="A17" i="9"/>
  <c r="A16" i="9"/>
  <c r="A15" i="9"/>
  <c r="A14" i="9"/>
  <c r="A13" i="9"/>
  <c r="G10" i="9"/>
  <c r="E9" i="9"/>
  <c r="E10" i="9"/>
  <c r="G13" i="9"/>
  <c r="G30" i="9"/>
  <c r="C8" i="9"/>
  <c r="G15" i="9"/>
  <c r="G16" i="9"/>
  <c r="G5" i="9"/>
  <c r="G35" i="9"/>
  <c r="G29" i="9"/>
  <c r="G37" i="9"/>
  <c r="G31" i="9"/>
  <c r="G18" i="9"/>
  <c r="G24" i="9"/>
  <c r="G32" i="9"/>
  <c r="G26" i="9"/>
  <c r="G20" i="9"/>
  <c r="G38" i="9"/>
  <c r="G23" i="9"/>
  <c r="G25" i="9"/>
  <c r="G33" i="9"/>
  <c r="G27" i="9"/>
  <c r="G21" i="9"/>
  <c r="G19" i="9"/>
  <c r="G34" i="9"/>
  <c r="G14" i="9"/>
  <c r="C11" i="9"/>
  <c r="G28" i="9"/>
  <c r="G22" i="9"/>
  <c r="G36" i="9"/>
  <c r="G17" i="9"/>
  <c r="G8" i="9"/>
  <c r="G4" i="9"/>
  <c r="C19" i="9"/>
  <c r="C20" i="9"/>
  <c r="G7" i="9"/>
  <c r="A28" i="8"/>
  <c r="A27" i="8"/>
  <c r="A26" i="8"/>
  <c r="A25" i="8"/>
  <c r="A24" i="8"/>
  <c r="A23" i="8"/>
  <c r="A22" i="8"/>
  <c r="A21" i="8"/>
  <c r="A20" i="8"/>
  <c r="A19" i="8"/>
  <c r="A18" i="8"/>
  <c r="C17" i="8"/>
  <c r="E18" i="8"/>
  <c r="A17" i="8"/>
  <c r="A16" i="8"/>
  <c r="A15" i="8"/>
  <c r="A14" i="8"/>
  <c r="A13" i="8"/>
  <c r="A12" i="8"/>
  <c r="A11" i="8"/>
  <c r="A10" i="8"/>
  <c r="A9" i="8"/>
  <c r="A8" i="8"/>
  <c r="A7" i="8"/>
  <c r="A6" i="8"/>
  <c r="A5" i="8"/>
  <c r="A28" i="7"/>
  <c r="A27" i="7"/>
  <c r="A26" i="7"/>
  <c r="A25" i="7"/>
  <c r="A24" i="7"/>
  <c r="A23" i="7"/>
  <c r="A22" i="7"/>
  <c r="A21" i="7"/>
  <c r="A20" i="7"/>
  <c r="A19" i="7"/>
  <c r="A18" i="7"/>
  <c r="C17" i="7"/>
  <c r="E16" i="7"/>
  <c r="A17" i="7"/>
  <c r="A16" i="7"/>
  <c r="A15" i="7"/>
  <c r="A14" i="7"/>
  <c r="A13" i="7"/>
  <c r="A12" i="7"/>
  <c r="A11" i="7"/>
  <c r="A10" i="7"/>
  <c r="A9" i="7"/>
  <c r="A8" i="7"/>
  <c r="A7" i="7"/>
  <c r="A6" i="7"/>
  <c r="A5" i="7"/>
  <c r="C16" i="8"/>
  <c r="E16" i="8"/>
  <c r="E18" i="7"/>
  <c r="C16" i="7"/>
  <c r="A4" i="7"/>
  <c r="A4" i="8"/>
  <c r="F14" i="8"/>
  <c r="G14" i="8"/>
  <c r="E14" i="8"/>
  <c r="F11" i="7"/>
  <c r="F10" i="7"/>
  <c r="F12" i="7"/>
  <c r="F14" i="7"/>
  <c r="F13" i="7"/>
  <c r="F12" i="8"/>
  <c r="D12" i="8"/>
  <c r="D14" i="8"/>
  <c r="F11" i="8"/>
  <c r="F10" i="8"/>
  <c r="D10" i="8"/>
  <c r="F13" i="8"/>
  <c r="G10" i="7"/>
  <c r="E10" i="7"/>
  <c r="D10" i="7"/>
  <c r="D11" i="7"/>
  <c r="G11" i="7"/>
  <c r="E11" i="7"/>
  <c r="D13" i="7"/>
  <c r="G13" i="7"/>
  <c r="E13" i="7"/>
  <c r="G14" i="7"/>
  <c r="E14" i="7"/>
  <c r="D14" i="7"/>
  <c r="G12" i="7"/>
  <c r="E12" i="7"/>
  <c r="D12" i="7"/>
  <c r="A29" i="6"/>
  <c r="A28" i="6"/>
  <c r="A27" i="6"/>
  <c r="A26" i="6"/>
  <c r="A25" i="6"/>
  <c r="A24" i="6"/>
  <c r="A23" i="6"/>
  <c r="A22" i="6"/>
  <c r="A21" i="6"/>
  <c r="A20" i="6"/>
  <c r="A19" i="6"/>
  <c r="A18" i="6"/>
  <c r="A17" i="6"/>
  <c r="A16" i="6"/>
  <c r="A15" i="6"/>
  <c r="A14" i="6"/>
  <c r="A13" i="6"/>
  <c r="A12" i="6"/>
  <c r="A11" i="6"/>
  <c r="H10" i="6"/>
  <c r="E9" i="6"/>
  <c r="E10" i="6"/>
  <c r="A10" i="6"/>
  <c r="A9" i="6"/>
  <c r="A8" i="6"/>
  <c r="A7" i="6"/>
  <c r="A6" i="6"/>
  <c r="A5" i="6"/>
  <c r="A4" i="6"/>
  <c r="A29" i="5"/>
  <c r="A28" i="5"/>
  <c r="A27" i="5"/>
  <c r="A26" i="5"/>
  <c r="A25" i="5"/>
  <c r="A24" i="5"/>
  <c r="A23" i="5"/>
  <c r="A22" i="5"/>
  <c r="A21" i="5"/>
  <c r="A20" i="5"/>
  <c r="A19" i="5"/>
  <c r="A18" i="5"/>
  <c r="A17" i="5"/>
  <c r="A16" i="5"/>
  <c r="A15" i="5"/>
  <c r="A14" i="5"/>
  <c r="A13" i="5"/>
  <c r="A12" i="5"/>
  <c r="A11" i="5"/>
  <c r="H10" i="5"/>
  <c r="E10" i="5"/>
  <c r="A10" i="5"/>
  <c r="A9" i="5"/>
  <c r="A8" i="5"/>
  <c r="A7" i="5"/>
  <c r="A6" i="5"/>
  <c r="A5" i="5"/>
  <c r="A4" i="5"/>
  <c r="A29" i="4"/>
  <c r="A28" i="4"/>
  <c r="A27" i="4"/>
  <c r="A26" i="4"/>
  <c r="A25" i="4"/>
  <c r="A24" i="4"/>
  <c r="A23" i="4"/>
  <c r="A22" i="4"/>
  <c r="A21" i="4"/>
  <c r="A20" i="4"/>
  <c r="A19" i="4"/>
  <c r="A18" i="4"/>
  <c r="A17" i="4"/>
  <c r="A16" i="4"/>
  <c r="A15" i="4"/>
  <c r="A14" i="4"/>
  <c r="A13" i="4"/>
  <c r="A12" i="4"/>
  <c r="A11" i="4"/>
  <c r="H10" i="4"/>
  <c r="H38" i="4"/>
  <c r="A10" i="4"/>
  <c r="A9" i="4"/>
  <c r="A8" i="4"/>
  <c r="A7" i="4"/>
  <c r="A6" i="4"/>
  <c r="A5" i="4"/>
  <c r="A4" i="4"/>
  <c r="G12" i="8"/>
  <c r="E12" i="8"/>
  <c r="G10" i="8"/>
  <c r="E10" i="8"/>
  <c r="G13" i="8"/>
  <c r="E13" i="8"/>
  <c r="D13" i="8"/>
  <c r="G11" i="8"/>
  <c r="E11" i="8"/>
  <c r="D11" i="8"/>
  <c r="H13" i="6"/>
  <c r="H19" i="6"/>
  <c r="E9" i="5"/>
  <c r="H13" i="5"/>
  <c r="C8" i="5"/>
  <c r="H17" i="4"/>
  <c r="H23" i="4"/>
  <c r="H29" i="4"/>
  <c r="H22" i="4"/>
  <c r="H30" i="4"/>
  <c r="H16" i="4"/>
  <c r="H18" i="4"/>
  <c r="H24" i="4"/>
  <c r="H31" i="4"/>
  <c r="H32" i="4"/>
  <c r="H13" i="4"/>
  <c r="C8" i="4"/>
  <c r="H19" i="4"/>
  <c r="H25" i="4"/>
  <c r="H33" i="4"/>
  <c r="H34" i="4"/>
  <c r="H28" i="4"/>
  <c r="H14" i="4"/>
  <c r="H20" i="4"/>
  <c r="H26" i="4"/>
  <c r="H35" i="4"/>
  <c r="H36" i="4"/>
  <c r="E10" i="4"/>
  <c r="E9" i="4"/>
  <c r="H15" i="4"/>
  <c r="H21" i="4"/>
  <c r="H27" i="4"/>
  <c r="H37" i="4"/>
  <c r="H25" i="5"/>
  <c r="H17" i="6"/>
  <c r="H38" i="6"/>
  <c r="H33" i="6"/>
  <c r="H26" i="6"/>
  <c r="H14" i="6"/>
  <c r="H34" i="6"/>
  <c r="H25" i="6"/>
  <c r="H27" i="6"/>
  <c r="H15" i="6"/>
  <c r="H37" i="6"/>
  <c r="H21" i="6"/>
  <c r="H31" i="6"/>
  <c r="C8" i="6"/>
  <c r="H18" i="6"/>
  <c r="H24" i="6"/>
  <c r="H36" i="6"/>
  <c r="H30" i="6"/>
  <c r="H28" i="6"/>
  <c r="H22" i="6"/>
  <c r="H16" i="6"/>
  <c r="H32" i="6"/>
  <c r="H29" i="6"/>
  <c r="H35" i="6"/>
  <c r="H23" i="6"/>
  <c r="H20" i="6"/>
  <c r="H5" i="6"/>
  <c r="H22" i="5"/>
  <c r="H32" i="5"/>
  <c r="H21" i="5"/>
  <c r="H26" i="5"/>
  <c r="H20" i="5"/>
  <c r="H38" i="5"/>
  <c r="H14" i="5"/>
  <c r="C11" i="5"/>
  <c r="H23" i="5"/>
  <c r="H27" i="5"/>
  <c r="H17" i="5"/>
  <c r="H24" i="5"/>
  <c r="H36" i="5"/>
  <c r="H37" i="5"/>
  <c r="H18" i="5"/>
  <c r="H30" i="5"/>
  <c r="H31" i="5"/>
  <c r="H29" i="5"/>
  <c r="H34" i="5"/>
  <c r="H5" i="5"/>
  <c r="H33" i="5"/>
  <c r="H28" i="5"/>
  <c r="H19" i="5"/>
  <c r="H15" i="5"/>
  <c r="H16" i="5"/>
  <c r="H35" i="5"/>
  <c r="C11" i="4"/>
  <c r="H5" i="4"/>
  <c r="G10" i="3"/>
  <c r="G12" i="3"/>
  <c r="C11" i="6"/>
  <c r="H4" i="6"/>
  <c r="H7" i="6"/>
  <c r="H8" i="6"/>
  <c r="H4" i="5"/>
  <c r="H7" i="5"/>
  <c r="H8" i="5"/>
  <c r="H4" i="4"/>
  <c r="H7" i="4"/>
  <c r="H8" i="4"/>
  <c r="G5" i="3"/>
  <c r="C10" i="3"/>
  <c r="C11" i="3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H10" i="2"/>
  <c r="A10" i="2"/>
  <c r="A9" i="2"/>
  <c r="A8" i="2"/>
  <c r="A7" i="2"/>
  <c r="A6" i="2"/>
  <c r="A5" i="2"/>
  <c r="A4" i="2"/>
  <c r="H10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E10" i="2"/>
  <c r="G8" i="3"/>
  <c r="G7" i="3"/>
  <c r="G4" i="3"/>
  <c r="E9" i="2"/>
  <c r="H13" i="2"/>
  <c r="C8" i="2"/>
  <c r="E9" i="1"/>
  <c r="E10" i="1"/>
  <c r="H13" i="1"/>
  <c r="C8" i="1"/>
  <c r="H16" i="1"/>
  <c r="H32" i="1"/>
  <c r="H15" i="1"/>
  <c r="H37" i="1"/>
  <c r="H35" i="1"/>
  <c r="H34" i="1"/>
  <c r="H38" i="1"/>
  <c r="H17" i="1"/>
  <c r="H31" i="1"/>
  <c r="H29" i="1"/>
  <c r="H14" i="1"/>
  <c r="H19" i="1"/>
  <c r="H28" i="1"/>
  <c r="H21" i="1"/>
  <c r="H25" i="2"/>
  <c r="H32" i="2"/>
  <c r="H36" i="2"/>
  <c r="H35" i="2"/>
  <c r="H24" i="2"/>
  <c r="H30" i="2"/>
  <c r="H18" i="2"/>
  <c r="H38" i="2"/>
  <c r="H31" i="2"/>
  <c r="H29" i="2"/>
  <c r="H26" i="2"/>
  <c r="H33" i="2"/>
  <c r="H19" i="2"/>
  <c r="H22" i="2"/>
  <c r="H27" i="2"/>
  <c r="H15" i="2"/>
  <c r="H17" i="2"/>
  <c r="H21" i="2"/>
  <c r="H20" i="2"/>
  <c r="H37" i="2"/>
  <c r="H28" i="2"/>
  <c r="H23" i="2"/>
  <c r="H34" i="2"/>
  <c r="H16" i="2"/>
  <c r="H14" i="2"/>
  <c r="H20" i="1"/>
  <c r="H27" i="1"/>
  <c r="H22" i="1"/>
  <c r="H30" i="1"/>
  <c r="H23" i="1"/>
  <c r="H18" i="1"/>
  <c r="H24" i="1"/>
  <c r="H33" i="1"/>
  <c r="H26" i="1"/>
  <c r="H25" i="1"/>
  <c r="H36" i="1"/>
  <c r="H5" i="2"/>
  <c r="H8" i="2"/>
  <c r="H5" i="1"/>
  <c r="H4" i="1"/>
  <c r="H7" i="1"/>
  <c r="C11" i="1"/>
  <c r="H4" i="2"/>
  <c r="H7" i="2"/>
  <c r="C11" i="2"/>
  <c r="H8" i="1"/>
</calcChain>
</file>

<file path=xl/sharedStrings.xml><?xml version="1.0" encoding="utf-8"?>
<sst xmlns="http://schemas.openxmlformats.org/spreadsheetml/2006/main" count="413" uniqueCount="102">
  <si>
    <t>Data</t>
  </si>
  <si>
    <t>Results</t>
  </si>
  <si>
    <t>l =</t>
  </si>
  <si>
    <t>L =</t>
  </si>
  <si>
    <t>m =</t>
  </si>
  <si>
    <t>s =</t>
  </si>
  <si>
    <t>(# servers)</t>
  </si>
  <si>
    <t>W =</t>
  </si>
  <si>
    <t>when t =</t>
  </si>
  <si>
    <t>r =</t>
  </si>
  <si>
    <t>(mean arrival rate)</t>
  </si>
  <si>
    <t>(mean service rate)</t>
  </si>
  <si>
    <t>n</t>
  </si>
  <si>
    <t>Range Name</t>
  </si>
  <si>
    <t>Cells</t>
  </si>
  <si>
    <t>L</t>
  </si>
  <si>
    <t>Lambda</t>
  </si>
  <si>
    <t>C4</t>
  </si>
  <si>
    <t>Lq</t>
  </si>
  <si>
    <t>Mu</t>
  </si>
  <si>
    <t>C5</t>
  </si>
  <si>
    <t>P0</t>
  </si>
  <si>
    <t>Pn</t>
  </si>
  <si>
    <t>G13:G38</t>
  </si>
  <si>
    <t>Rho</t>
  </si>
  <si>
    <t>s</t>
  </si>
  <si>
    <t>C6</t>
  </si>
  <si>
    <t>Time1</t>
  </si>
  <si>
    <t>C9</t>
  </si>
  <si>
    <t>Time2</t>
  </si>
  <si>
    <t>C12</t>
  </si>
  <si>
    <t>W</t>
  </si>
  <si>
    <t>Wq</t>
  </si>
  <si>
    <t>Pr(W &gt; t) =</t>
  </si>
  <si>
    <r>
      <t>L</t>
    </r>
    <r>
      <rPr>
        <vertAlign val="subscript"/>
        <sz val="10"/>
        <rFont val="Arial"/>
        <family val="2"/>
      </rPr>
      <t>q</t>
    </r>
    <r>
      <rPr>
        <sz val="10"/>
        <rFont val="Arial"/>
        <family val="2"/>
      </rPr>
      <t xml:space="preserve"> =</t>
    </r>
  </si>
  <si>
    <r>
      <t>W</t>
    </r>
    <r>
      <rPr>
        <vertAlign val="subscript"/>
        <sz val="10"/>
        <rFont val="Arial"/>
        <family val="2"/>
      </rPr>
      <t>q</t>
    </r>
    <r>
      <rPr>
        <sz val="10"/>
        <rFont val="Arial"/>
        <family val="2"/>
      </rPr>
      <t xml:space="preserve"> =</t>
    </r>
  </si>
  <si>
    <r>
      <t>Prob(W</t>
    </r>
    <r>
      <rPr>
        <vertAlign val="subscript"/>
        <sz val="10"/>
        <rFont val="Arial"/>
        <family val="2"/>
      </rPr>
      <t xml:space="preserve">q </t>
    </r>
    <r>
      <rPr>
        <sz val="10"/>
        <rFont val="Arial"/>
        <family val="2"/>
      </rPr>
      <t>&gt; t) =</t>
    </r>
  </si>
  <si>
    <r>
      <t>P</t>
    </r>
    <r>
      <rPr>
        <vertAlign val="subscript"/>
        <sz val="10"/>
        <rFont val="Arial"/>
        <family val="2"/>
      </rPr>
      <t>n</t>
    </r>
  </si>
  <si>
    <t>H4</t>
  </si>
  <si>
    <t>H5</t>
  </si>
  <si>
    <t>H13</t>
  </si>
  <si>
    <t>H13:H38</t>
  </si>
  <si>
    <t>H10</t>
  </si>
  <si>
    <t>H7</t>
  </si>
  <si>
    <t>H8</t>
  </si>
  <si>
    <t>Template for the M/M/1 Queueing Model</t>
  </si>
  <si>
    <t>Template for the M/G/1 Queueing Model</t>
  </si>
  <si>
    <t>Cell</t>
  </si>
  <si>
    <t>G4</t>
  </si>
  <si>
    <t>1/m =</t>
  </si>
  <si>
    <t>(expected service time)</t>
  </si>
  <si>
    <t>s=</t>
  </si>
  <si>
    <t>(standard deviation)</t>
  </si>
  <si>
    <t>G5</t>
  </si>
  <si>
    <t>OneOverMu</t>
  </si>
  <si>
    <t>G10</t>
  </si>
  <si>
    <t>C7</t>
  </si>
  <si>
    <t>Sigma</t>
  </si>
  <si>
    <t>G7</t>
  </si>
  <si>
    <r>
      <t>P</t>
    </r>
    <r>
      <rPr>
        <vertAlign val="subscript"/>
        <sz val="10"/>
        <rFont val="Arial"/>
        <family val="2"/>
      </rPr>
      <t>0</t>
    </r>
    <r>
      <rPr>
        <sz val="10"/>
        <rFont val="Arial"/>
        <family val="2"/>
      </rPr>
      <t xml:space="preserve"> =</t>
    </r>
  </si>
  <si>
    <t>G8</t>
  </si>
  <si>
    <t>Template for the M/M/s Queueing Model</t>
  </si>
  <si>
    <r>
      <t xml:space="preserve">L </t>
    </r>
    <r>
      <rPr>
        <sz val="14"/>
        <color rgb="FF000000"/>
        <rFont val="Calibri"/>
        <family val="2"/>
      </rPr>
      <t xml:space="preserve">= Expected </t>
    </r>
    <r>
      <rPr>
        <b/>
        <sz val="14"/>
        <color rgb="FF000000"/>
        <rFont val="Calibri"/>
        <family val="2"/>
      </rPr>
      <t>number of customers in the system</t>
    </r>
    <r>
      <rPr>
        <sz val="14"/>
        <color rgb="FF000000"/>
        <rFont val="Calibri"/>
        <family val="2"/>
      </rPr>
      <t xml:space="preserve">, including those being served (the symbol </t>
    </r>
    <r>
      <rPr>
        <i/>
        <sz val="14"/>
        <color rgb="FF000000"/>
        <rFont val="Calibri"/>
        <family val="2"/>
      </rPr>
      <t>L</t>
    </r>
    <r>
      <rPr>
        <sz val="14"/>
        <color rgb="FF000000"/>
        <rFont val="Calibri"/>
        <family val="2"/>
      </rPr>
      <t xml:space="preserve"> comes from Line Length).</t>
    </r>
  </si>
  <si>
    <r>
      <t>L</t>
    </r>
    <r>
      <rPr>
        <i/>
        <vertAlign val="subscript"/>
        <sz val="14"/>
        <color rgb="FF000000"/>
        <rFont val="Calibri"/>
        <family val="2"/>
      </rPr>
      <t>q</t>
    </r>
    <r>
      <rPr>
        <i/>
        <sz val="14"/>
        <color rgb="FF000000"/>
        <rFont val="Calibri"/>
        <family val="2"/>
      </rPr>
      <t xml:space="preserve"> = </t>
    </r>
    <r>
      <rPr>
        <sz val="14"/>
        <color rgb="FF000000"/>
        <rFont val="Calibri"/>
        <family val="2"/>
      </rPr>
      <t xml:space="preserve">Expected </t>
    </r>
    <r>
      <rPr>
        <b/>
        <sz val="14"/>
        <color rgb="FF000000"/>
        <rFont val="Calibri"/>
        <family val="2"/>
      </rPr>
      <t>number of customers in the queue</t>
    </r>
    <r>
      <rPr>
        <sz val="14"/>
        <color rgb="FF000000"/>
        <rFont val="Calibri"/>
        <family val="2"/>
      </rPr>
      <t>, which excludes customers being served.</t>
    </r>
  </si>
  <si>
    <r>
      <t>W</t>
    </r>
    <r>
      <rPr>
        <sz val="14"/>
        <color rgb="FF000000"/>
        <rFont val="Calibri"/>
        <family val="2"/>
      </rPr>
      <t xml:space="preserve"> = Expected </t>
    </r>
    <r>
      <rPr>
        <b/>
        <sz val="14"/>
        <color rgb="FF000000"/>
        <rFont val="Calibri"/>
        <family val="2"/>
      </rPr>
      <t>waiting time in the system</t>
    </r>
    <r>
      <rPr>
        <sz val="14"/>
        <color rgb="FF000000"/>
        <rFont val="Calibri"/>
        <family val="2"/>
      </rPr>
      <t xml:space="preserve"> (including service time) for an individual customer (the symbol </t>
    </r>
    <r>
      <rPr>
        <i/>
        <sz val="14"/>
        <color rgb="FF000000"/>
        <rFont val="Calibri"/>
        <family val="2"/>
      </rPr>
      <t>W</t>
    </r>
    <r>
      <rPr>
        <sz val="14"/>
        <color rgb="FF000000"/>
        <rFont val="Calibri"/>
        <family val="2"/>
      </rPr>
      <t xml:space="preserve"> comes from Waiting time).</t>
    </r>
  </si>
  <si>
    <r>
      <t>W</t>
    </r>
    <r>
      <rPr>
        <i/>
        <vertAlign val="subscript"/>
        <sz val="14"/>
        <color rgb="FF000000"/>
        <rFont val="Calibri"/>
        <family val="2"/>
      </rPr>
      <t xml:space="preserve">q </t>
    </r>
    <r>
      <rPr>
        <sz val="14"/>
        <color rgb="FF000000"/>
        <rFont val="Calibri"/>
        <family val="2"/>
      </rPr>
      <t xml:space="preserve">= Expected </t>
    </r>
    <r>
      <rPr>
        <b/>
        <sz val="14"/>
        <color rgb="FF000000"/>
        <rFont val="Calibri"/>
        <family val="2"/>
      </rPr>
      <t>waiting time in the queue</t>
    </r>
    <r>
      <rPr>
        <sz val="14"/>
        <color rgb="FF000000"/>
        <rFont val="Calibri"/>
        <family val="2"/>
      </rPr>
      <t xml:space="preserve"> (excludes service time) for an individual customer.</t>
    </r>
  </si>
  <si>
    <t>L = Expected number of customers in the system, including those being served (the symbol L comes from Line Length).</t>
  </si>
  <si>
    <t>Lq = Expected number of customers in the queue, which excludes customers being served.</t>
  </si>
  <si>
    <t>W = Expected waiting time in the system (including service time) for an individual customer (the symbol W comes from Waiting time).</t>
  </si>
  <si>
    <t>Wq = Expected waiting time in the queue (excludes service time) for an individual customer.</t>
  </si>
  <si>
    <t>Template for M/M/s Nonpreemptive Priorities Queueing Model</t>
  </si>
  <si>
    <t>n =</t>
  </si>
  <si>
    <t>(# of priority classes)</t>
  </si>
  <si>
    <r>
      <t>l</t>
    </r>
    <r>
      <rPr>
        <vertAlign val="subscript"/>
        <sz val="14"/>
        <rFont val="Arial"/>
        <family val="2"/>
      </rPr>
      <t>i</t>
    </r>
  </si>
  <si>
    <t>Priority Class 1</t>
  </si>
  <si>
    <t>Priority Class 2</t>
  </si>
  <si>
    <t>Priority Class 3</t>
  </si>
  <si>
    <t>Priority Class 4</t>
  </si>
  <si>
    <t>Priority Class 5</t>
  </si>
  <si>
    <t>Template for Economic Analysis of M/M/s Queueing Model</t>
  </si>
  <si>
    <t>CostOfService</t>
  </si>
  <si>
    <t>C18</t>
  </si>
  <si>
    <t>CostOfWaiting</t>
  </si>
  <si>
    <t>C19</t>
  </si>
  <si>
    <t>Cs</t>
  </si>
  <si>
    <t>C15</t>
  </si>
  <si>
    <t>Cw</t>
  </si>
  <si>
    <t>C16</t>
  </si>
  <si>
    <t>F13:F38</t>
  </si>
  <si>
    <t>G13</t>
  </si>
  <si>
    <t>Economic Analysis:</t>
  </si>
  <si>
    <t>Cs =</t>
  </si>
  <si>
    <t>(cost / server / unit time)</t>
  </si>
  <si>
    <t>Cw =</t>
  </si>
  <si>
    <t>(waiting cost / unit time)</t>
  </si>
  <si>
    <t>Cost of Service</t>
  </si>
  <si>
    <t>Cost of Waiting</t>
  </si>
  <si>
    <t>TotalCost</t>
  </si>
  <si>
    <t>C20</t>
  </si>
  <si>
    <t>Total Cost</t>
  </si>
  <si>
    <t>one work day (8 hours)</t>
  </si>
  <si>
    <t>hour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</si>
</sst>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&quot;$&quot;#,##0.00"/>
  </numFmts>
  <fonts count="19">
    <font>
      <sz val="10"/>
      <name val="Geneva"/>
    </font>
    <font>
      <sz val="10"/>
      <name val="Symbol"/>
      <family val="1"/>
      <charset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vertAlign val="subscript"/>
      <sz val="10"/>
      <name val="Arial"/>
      <family val="2"/>
    </font>
    <font>
      <u/>
      <sz val="10"/>
      <name val="Arial"/>
      <family val="2"/>
    </font>
    <font>
      <sz val="10"/>
      <color theme="0"/>
      <name val="Arial"/>
      <family val="2"/>
    </font>
    <font>
      <b/>
      <sz val="10"/>
      <name val="Symbol"/>
      <family val="1"/>
      <charset val="2"/>
    </font>
    <font>
      <b/>
      <sz val="12"/>
      <name val="Symbol"/>
      <family val="1"/>
      <charset val="2"/>
    </font>
    <font>
      <i/>
      <sz val="14"/>
      <color rgb="FF000000"/>
      <name val="Calibri"/>
      <family val="2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  <font>
      <i/>
      <vertAlign val="subscript"/>
      <sz val="14"/>
      <color rgb="FF000000"/>
      <name val="Calibri"/>
      <family val="2"/>
    </font>
    <font>
      <i/>
      <sz val="16"/>
      <color rgb="FF000000"/>
      <name val="Calibri"/>
      <family val="2"/>
    </font>
    <font>
      <i/>
      <sz val="12"/>
      <color rgb="FF000000"/>
      <name val="Calibri"/>
      <family val="2"/>
    </font>
    <font>
      <sz val="10"/>
      <color indexed="9"/>
      <name val="Arial"/>
      <family val="2"/>
    </font>
    <font>
      <vertAlign val="subscript"/>
      <sz val="14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Alignment="1" applyProtection="1">
      <alignment horizontal="right"/>
      <protection locked="0"/>
    </xf>
    <xf numFmtId="0" fontId="1" fillId="0" borderId="0" xfId="0" applyFont="1" applyAlignment="1">
      <alignment horizontal="right"/>
    </xf>
    <xf numFmtId="0" fontId="2" fillId="0" borderId="0" xfId="0" applyFont="1" applyProtection="1">
      <protection locked="0"/>
    </xf>
    <xf numFmtId="0" fontId="3" fillId="0" borderId="0" xfId="0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Continuous"/>
      <protection locked="0"/>
    </xf>
    <xf numFmtId="0" fontId="4" fillId="2" borderId="1" xfId="0" applyFont="1" applyFill="1" applyBorder="1"/>
    <xf numFmtId="0" fontId="4" fillId="2" borderId="2" xfId="0" applyFont="1" applyFill="1" applyBorder="1"/>
    <xf numFmtId="0" fontId="3" fillId="0" borderId="0" xfId="0" applyFont="1" applyAlignment="1">
      <alignment horizontal="right"/>
    </xf>
    <xf numFmtId="0" fontId="3" fillId="2" borderId="1" xfId="0" applyFont="1" applyFill="1" applyBorder="1"/>
    <xf numFmtId="0" fontId="3" fillId="2" borderId="2" xfId="0" applyFont="1" applyFill="1" applyBorder="1"/>
    <xf numFmtId="0" fontId="3" fillId="2" borderId="5" xfId="0" applyFont="1" applyFill="1" applyBorder="1"/>
    <xf numFmtId="0" fontId="3" fillId="2" borderId="6" xfId="0" applyFont="1" applyFill="1" applyBorder="1"/>
    <xf numFmtId="0" fontId="4" fillId="0" borderId="0" xfId="0" applyFont="1" applyProtection="1">
      <protection locked="0"/>
    </xf>
    <xf numFmtId="0" fontId="3" fillId="0" borderId="0" xfId="0" applyFont="1" applyAlignment="1">
      <alignment horizontal="center"/>
    </xf>
    <xf numFmtId="0" fontId="3" fillId="2" borderId="9" xfId="0" applyFont="1" applyFill="1" applyBorder="1"/>
    <xf numFmtId="0" fontId="3" fillId="2" borderId="10" xfId="0" applyFont="1" applyFill="1" applyBorder="1"/>
    <xf numFmtId="0" fontId="6" fillId="0" borderId="0" xfId="0" applyFont="1" applyAlignment="1" applyProtection="1">
      <alignment horizontal="center"/>
      <protection locked="0"/>
    </xf>
    <xf numFmtId="0" fontId="7" fillId="0" borderId="0" xfId="0" applyFont="1" applyProtection="1">
      <protection hidden="1"/>
    </xf>
    <xf numFmtId="0" fontId="3" fillId="3" borderId="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3" fillId="3" borderId="8" xfId="0" applyFont="1" applyFill="1" applyBorder="1" applyAlignment="1">
      <alignment horizontal="right"/>
    </xf>
    <xf numFmtId="0" fontId="8" fillId="0" borderId="0" xfId="0" applyFont="1" applyProtection="1">
      <protection locked="0"/>
    </xf>
    <xf numFmtId="0" fontId="3" fillId="4" borderId="0" xfId="0" applyFont="1" applyFill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2" xfId="0" applyFont="1" applyFill="1" applyBorder="1" applyProtection="1">
      <protection locked="0"/>
    </xf>
    <xf numFmtId="164" fontId="3" fillId="3" borderId="3" xfId="0" applyNumberFormat="1" applyFont="1" applyFill="1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164" fontId="3" fillId="3" borderId="4" xfId="0" applyNumberFormat="1" applyFont="1" applyFill="1" applyBorder="1" applyAlignment="1">
      <alignment horizontal="center"/>
    </xf>
    <xf numFmtId="0" fontId="3" fillId="2" borderId="5" xfId="0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3" borderId="4" xfId="0" applyFont="1" applyFill="1" applyBorder="1" applyAlignment="1">
      <alignment horizontal="center"/>
    </xf>
    <xf numFmtId="0" fontId="9" fillId="0" borderId="0" xfId="0" applyFont="1" applyProtection="1">
      <protection locked="0"/>
    </xf>
    <xf numFmtId="0" fontId="3" fillId="3" borderId="4" xfId="0" applyFont="1" applyFill="1" applyBorder="1" applyAlignment="1" applyProtection="1">
      <alignment horizontal="center"/>
      <protection locked="0"/>
    </xf>
    <xf numFmtId="0" fontId="3" fillId="3" borderId="8" xfId="0" applyFont="1" applyFill="1" applyBorder="1" applyAlignment="1" applyProtection="1">
      <alignment horizontal="center"/>
      <protection locked="0"/>
    </xf>
    <xf numFmtId="0" fontId="3" fillId="2" borderId="9" xfId="0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10" fillId="0" borderId="0" xfId="0" applyFont="1" applyAlignment="1">
      <alignment horizontal="left" vertical="center" indent="3" readingOrder="1"/>
    </xf>
    <xf numFmtId="0" fontId="10" fillId="0" borderId="0" xfId="0" applyFont="1" applyAlignment="1">
      <alignment horizontal="left" vertical="center" indent="4" readingOrder="1"/>
    </xf>
    <xf numFmtId="0" fontId="14" fillId="0" borderId="0" xfId="0" applyFont="1" applyAlignment="1">
      <alignment horizontal="left" vertical="center" indent="3" readingOrder="1"/>
    </xf>
    <xf numFmtId="0" fontId="14" fillId="0" borderId="0" xfId="0" applyFont="1" applyAlignment="1">
      <alignment horizontal="left" vertical="center" indent="4" readingOrder="1"/>
    </xf>
    <xf numFmtId="0" fontId="15" fillId="0" borderId="0" xfId="0" applyFont="1" applyAlignment="1">
      <alignment horizontal="left" vertical="center" indent="3" readingOrder="1"/>
    </xf>
    <xf numFmtId="0" fontId="15" fillId="0" borderId="0" xfId="0" applyFont="1" applyAlignment="1">
      <alignment horizontal="left" vertical="center" indent="4" readingOrder="1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16" fillId="0" borderId="0" xfId="0" applyFont="1"/>
    <xf numFmtId="0" fontId="3" fillId="4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8" fillId="0" borderId="0" xfId="0" applyFont="1" applyProtection="1">
      <protection hidden="1"/>
    </xf>
    <xf numFmtId="0" fontId="3" fillId="3" borderId="1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18" fillId="0" borderId="0" xfId="0" applyFont="1"/>
    <xf numFmtId="0" fontId="3" fillId="3" borderId="5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3" xfId="0" applyFont="1" applyFill="1" applyBorder="1"/>
    <xf numFmtId="0" fontId="3" fillId="3" borderId="4" xfId="0" applyFont="1" applyFill="1" applyBorder="1"/>
    <xf numFmtId="0" fontId="3" fillId="3" borderId="8" xfId="0" applyFont="1" applyFill="1" applyBorder="1"/>
    <xf numFmtId="165" fontId="3" fillId="4" borderId="0" xfId="0" applyNumberFormat="1" applyFont="1" applyFill="1" applyAlignment="1" applyProtection="1">
      <alignment horizontal="center"/>
      <protection locked="0"/>
    </xf>
    <xf numFmtId="165" fontId="3" fillId="0" borderId="0" xfId="0" applyNumberFormat="1" applyFont="1" applyAlignment="1" applyProtection="1">
      <alignment horizontal="center"/>
      <protection locked="0"/>
    </xf>
    <xf numFmtId="165" fontId="3" fillId="3" borderId="7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8"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1892203978841"/>
          <c:y val="0.105263759044677"/>
          <c:w val="0.817569365782846"/>
          <c:h val="0.6198865810408730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'M|M|1'!$G$13:$G$38</c:f>
              <c:numCache>
                <c:formatCode>General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</c:numCache>
            </c:numRef>
          </c:cat>
          <c:val>
            <c:numRef>
              <c:f>'M|M|1'!$H$13:$H$38</c:f>
              <c:numCache>
                <c:formatCode>General</c:formatCode>
                <c:ptCount val="26"/>
                <c:pt idx="0">
                  <c:v>0.25</c:v>
                </c:pt>
                <c:pt idx="1">
                  <c:v>0.1875</c:v>
                </c:pt>
                <c:pt idx="2">
                  <c:v>0.140625</c:v>
                </c:pt>
                <c:pt idx="3">
                  <c:v>0.10546875</c:v>
                </c:pt>
                <c:pt idx="4">
                  <c:v>7.91015625E-2</c:v>
                </c:pt>
                <c:pt idx="5">
                  <c:v>5.9326171875E-2</c:v>
                </c:pt>
                <c:pt idx="6">
                  <c:v>4.449462890625E-2</c:v>
                </c:pt>
                <c:pt idx="7">
                  <c:v>3.33709716796875E-2</c:v>
                </c:pt>
                <c:pt idx="8">
                  <c:v>2.5028228759765625E-2</c:v>
                </c:pt>
                <c:pt idx="9">
                  <c:v>1.8771171569824219E-2</c:v>
                </c:pt>
                <c:pt idx="10">
                  <c:v>1.4078378677368164E-2</c:v>
                </c:pt>
                <c:pt idx="11">
                  <c:v>1.0558784008026123E-2</c:v>
                </c:pt>
                <c:pt idx="12">
                  <c:v>7.9190880060195923E-3</c:v>
                </c:pt>
                <c:pt idx="13">
                  <c:v>5.9393160045146942E-3</c:v>
                </c:pt>
                <c:pt idx="14">
                  <c:v>4.4544870033860207E-3</c:v>
                </c:pt>
                <c:pt idx="15">
                  <c:v>3.3408652525395155E-3</c:v>
                </c:pt>
                <c:pt idx="16">
                  <c:v>2.5056489394046366E-3</c:v>
                </c:pt>
                <c:pt idx="17">
                  <c:v>1.8792367045534775E-3</c:v>
                </c:pt>
                <c:pt idx="18">
                  <c:v>1.4094275284151081E-3</c:v>
                </c:pt>
                <c:pt idx="19">
                  <c:v>1.0570706463113311E-3</c:v>
                </c:pt>
                <c:pt idx="20">
                  <c:v>7.9280298473349831E-4</c:v>
                </c:pt>
                <c:pt idx="21">
                  <c:v>5.9460223855012373E-4</c:v>
                </c:pt>
                <c:pt idx="22">
                  <c:v>4.459516789125928E-4</c:v>
                </c:pt>
                <c:pt idx="23">
                  <c:v>3.344637591844446E-4</c:v>
                </c:pt>
                <c:pt idx="24">
                  <c:v>2.5084781938833345E-4</c:v>
                </c:pt>
                <c:pt idx="25">
                  <c:v>1.8813586454125009E-4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08-40D5-BF65-B160CB54E8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18377536"/>
        <c:axId val="1918379312"/>
      </c:barChart>
      <c:catAx>
        <c:axId val="1918377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Number of Customers in System</a:t>
                </a:r>
              </a:p>
            </c:rich>
          </c:tx>
          <c:layout>
            <c:manualLayout>
              <c:xMode val="edge"/>
              <c:yMode val="edge"/>
              <c:x val="0.37162233099240999"/>
              <c:y val="0.85380608125738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9183793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1837931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Probability</a:t>
                </a:r>
              </a:p>
            </c:rich>
          </c:tx>
          <c:layout>
            <c:manualLayout>
              <c:xMode val="edge"/>
              <c:yMode val="edge"/>
              <c:x val="1.8018018018018001E-2"/>
              <c:y val="0.2865515494773679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91837753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1892203978841"/>
          <c:y val="0.105263759044677"/>
          <c:w val="0.817569365782846"/>
          <c:h val="0.6198865810408730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'M|M|1 (Phixitt)'!$G$13:$G$38</c:f>
              <c:numCache>
                <c:formatCode>General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</c:numCache>
            </c:numRef>
          </c:cat>
          <c:val>
            <c:numRef>
              <c:f>'M|M|1 (Phixitt)'!$H$13:$H$38</c:f>
              <c:numCache>
                <c:formatCode>General</c:formatCode>
                <c:ptCount val="26"/>
                <c:pt idx="0">
                  <c:v>0.37499999999999994</c:v>
                </c:pt>
                <c:pt idx="1">
                  <c:v>0.234375</c:v>
                </c:pt>
                <c:pt idx="2">
                  <c:v>0.146484375</c:v>
                </c:pt>
                <c:pt idx="3">
                  <c:v>9.1552734375E-2</c:v>
                </c:pt>
                <c:pt idx="4">
                  <c:v>5.7220458984375E-2</c:v>
                </c:pt>
                <c:pt idx="5">
                  <c:v>3.5762786865234375E-2</c:v>
                </c:pt>
                <c:pt idx="6">
                  <c:v>2.2351741790771484E-2</c:v>
                </c:pt>
                <c:pt idx="7">
                  <c:v>1.3969838619232178E-2</c:v>
                </c:pt>
                <c:pt idx="8">
                  <c:v>8.7311491370201111E-3</c:v>
                </c:pt>
                <c:pt idx="9">
                  <c:v>5.4569682106375694E-3</c:v>
                </c:pt>
                <c:pt idx="10">
                  <c:v>3.4106051316484809E-3</c:v>
                </c:pt>
                <c:pt idx="11">
                  <c:v>2.1316282072803006E-3</c:v>
                </c:pt>
                <c:pt idx="12">
                  <c:v>1.3322676295501878E-3</c:v>
                </c:pt>
                <c:pt idx="13">
                  <c:v>8.3266726846886741E-4</c:v>
                </c:pt>
                <c:pt idx="14">
                  <c:v>5.2041704279304213E-4</c:v>
                </c:pt>
                <c:pt idx="15">
                  <c:v>3.2526065174565133E-4</c:v>
                </c:pt>
                <c:pt idx="16">
                  <c:v>2.0328790734103208E-4</c:v>
                </c:pt>
                <c:pt idx="17">
                  <c:v>1.2705494208814505E-4</c:v>
                </c:pt>
                <c:pt idx="18">
                  <c:v>7.9409338805090657E-5</c:v>
                </c:pt>
                <c:pt idx="19">
                  <c:v>4.963083675318166E-5</c:v>
                </c:pt>
                <c:pt idx="20">
                  <c:v>3.1019272970738538E-5</c:v>
                </c:pt>
                <c:pt idx="21">
                  <c:v>1.9387045606711586E-5</c:v>
                </c:pt>
                <c:pt idx="22">
                  <c:v>1.2116903504194741E-5</c:v>
                </c:pt>
                <c:pt idx="23">
                  <c:v>7.5730646901217127E-6</c:v>
                </c:pt>
                <c:pt idx="24">
                  <c:v>4.7331654313260708E-6</c:v>
                </c:pt>
                <c:pt idx="25">
                  <c:v>2.9582283945787948E-6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B1-4D1E-89A7-C790E84081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18377536"/>
        <c:axId val="1918379312"/>
      </c:barChart>
      <c:catAx>
        <c:axId val="1918377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Number of Customers in System</a:t>
                </a:r>
              </a:p>
            </c:rich>
          </c:tx>
          <c:layout>
            <c:manualLayout>
              <c:xMode val="edge"/>
              <c:yMode val="edge"/>
              <c:x val="0.37162233099240999"/>
              <c:y val="0.85380608125738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9183793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1837931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Probability</a:t>
                </a:r>
              </a:p>
            </c:rich>
          </c:tx>
          <c:layout>
            <c:manualLayout>
              <c:xMode val="edge"/>
              <c:yMode val="edge"/>
              <c:x val="1.8018018018018001E-2"/>
              <c:y val="0.2865515494773679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91837753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1892203978841"/>
          <c:y val="0.105263759044677"/>
          <c:w val="0.817569365782846"/>
          <c:h val="0.6198865810408730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'M|M|s'!$G$13:$G$38</c:f>
              <c:numCache>
                <c:formatCode>General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</c:numCache>
            </c:numRef>
          </c:cat>
          <c:val>
            <c:numRef>
              <c:f>'M|M|s'!$H$13:$H$38</c:f>
              <c:numCache>
                <c:formatCode>General</c:formatCode>
                <c:ptCount val="26"/>
                <c:pt idx="0">
                  <c:v>0.25</c:v>
                </c:pt>
                <c:pt idx="1">
                  <c:v>0.1875</c:v>
                </c:pt>
                <c:pt idx="2">
                  <c:v>0.140625</c:v>
                </c:pt>
                <c:pt idx="3">
                  <c:v>0.10546875</c:v>
                </c:pt>
                <c:pt idx="4">
                  <c:v>7.91015625E-2</c:v>
                </c:pt>
                <c:pt idx="5">
                  <c:v>5.9326171875E-2</c:v>
                </c:pt>
                <c:pt idx="6">
                  <c:v>4.449462890625E-2</c:v>
                </c:pt>
                <c:pt idx="7">
                  <c:v>3.33709716796875E-2</c:v>
                </c:pt>
                <c:pt idx="8">
                  <c:v>2.5028228759765625E-2</c:v>
                </c:pt>
                <c:pt idx="9">
                  <c:v>1.8771171569824219E-2</c:v>
                </c:pt>
                <c:pt idx="10">
                  <c:v>1.4078378677368164E-2</c:v>
                </c:pt>
                <c:pt idx="11">
                  <c:v>1.0558784008026123E-2</c:v>
                </c:pt>
                <c:pt idx="12">
                  <c:v>7.9190880060195923E-3</c:v>
                </c:pt>
                <c:pt idx="13">
                  <c:v>5.9393160045146942E-3</c:v>
                </c:pt>
                <c:pt idx="14">
                  <c:v>4.4544870033860207E-3</c:v>
                </c:pt>
                <c:pt idx="15">
                  <c:v>3.3408652525395155E-3</c:v>
                </c:pt>
                <c:pt idx="16">
                  <c:v>2.5056489394046366E-3</c:v>
                </c:pt>
                <c:pt idx="17">
                  <c:v>1.8792367045534775E-3</c:v>
                </c:pt>
                <c:pt idx="18">
                  <c:v>1.4094275284151081E-3</c:v>
                </c:pt>
                <c:pt idx="19">
                  <c:v>1.0570706463113311E-3</c:v>
                </c:pt>
                <c:pt idx="20">
                  <c:v>7.9280298473349831E-4</c:v>
                </c:pt>
                <c:pt idx="21">
                  <c:v>5.9460223855012373E-4</c:v>
                </c:pt>
                <c:pt idx="22">
                  <c:v>4.459516789125928E-4</c:v>
                </c:pt>
                <c:pt idx="23">
                  <c:v>3.344637591844446E-4</c:v>
                </c:pt>
                <c:pt idx="24">
                  <c:v>2.5084781938833345E-4</c:v>
                </c:pt>
                <c:pt idx="25">
                  <c:v>1.8813586454125009E-4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8A-49FA-88CD-56533497C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18377536"/>
        <c:axId val="1918379312"/>
      </c:barChart>
      <c:catAx>
        <c:axId val="1918377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Number of Customers in System</a:t>
                </a:r>
              </a:p>
            </c:rich>
          </c:tx>
          <c:layout>
            <c:manualLayout>
              <c:xMode val="edge"/>
              <c:yMode val="edge"/>
              <c:x val="0.37162233099240999"/>
              <c:y val="0.85380608125738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9183793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1837931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Probability</a:t>
                </a:r>
              </a:p>
            </c:rich>
          </c:tx>
          <c:layout>
            <c:manualLayout>
              <c:xMode val="edge"/>
              <c:yMode val="edge"/>
              <c:x val="1.8018018018018001E-2"/>
              <c:y val="0.2865515494773679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91837753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1892203978841"/>
          <c:y val="0.105263759044677"/>
          <c:w val="0.817569365782846"/>
          <c:h val="0.6198865810408730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'M|M|s (CFO change2)'!$G$13:$G$38</c:f>
              <c:numCache>
                <c:formatCode>General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</c:numCache>
            </c:numRef>
          </c:cat>
          <c:val>
            <c:numRef>
              <c:f>'M|M|s (CFO change2)'!$H$13:$H$38</c:f>
              <c:numCache>
                <c:formatCode>General</c:formatCode>
                <c:ptCount val="26"/>
                <c:pt idx="0">
                  <c:v>0.14285714285714285</c:v>
                </c:pt>
                <c:pt idx="1">
                  <c:v>0.21428571428571427</c:v>
                </c:pt>
                <c:pt idx="2">
                  <c:v>0.1607142857142857</c:v>
                </c:pt>
                <c:pt idx="3">
                  <c:v>0.12053571428571427</c:v>
                </c:pt>
                <c:pt idx="4">
                  <c:v>9.0401785714285712E-2</c:v>
                </c:pt>
                <c:pt idx="5">
                  <c:v>6.7801339285714288E-2</c:v>
                </c:pt>
                <c:pt idx="6">
                  <c:v>5.0851004464285712E-2</c:v>
                </c:pt>
                <c:pt idx="7">
                  <c:v>3.8138253348214281E-2</c:v>
                </c:pt>
                <c:pt idx="8">
                  <c:v>2.8603690011160712E-2</c:v>
                </c:pt>
                <c:pt idx="9">
                  <c:v>2.1452767508370534E-2</c:v>
                </c:pt>
                <c:pt idx="10">
                  <c:v>1.60895756312779E-2</c:v>
                </c:pt>
                <c:pt idx="11">
                  <c:v>1.2067181723458425E-2</c:v>
                </c:pt>
                <c:pt idx="12">
                  <c:v>9.0503862925938195E-3</c:v>
                </c:pt>
                <c:pt idx="13">
                  <c:v>6.7877897194453642E-3</c:v>
                </c:pt>
                <c:pt idx="14">
                  <c:v>5.0908422895840234E-3</c:v>
                </c:pt>
                <c:pt idx="15">
                  <c:v>3.8181317171880175E-3</c:v>
                </c:pt>
                <c:pt idx="16">
                  <c:v>2.863598787891013E-3</c:v>
                </c:pt>
                <c:pt idx="17">
                  <c:v>2.1476990909182598E-3</c:v>
                </c:pt>
                <c:pt idx="18">
                  <c:v>1.6107743181886949E-3</c:v>
                </c:pt>
                <c:pt idx="19">
                  <c:v>1.2080807386415213E-3</c:v>
                </c:pt>
                <c:pt idx="20">
                  <c:v>9.0606055398114089E-4</c:v>
                </c:pt>
                <c:pt idx="21">
                  <c:v>6.7954541548585561E-4</c:v>
                </c:pt>
                <c:pt idx="22">
                  <c:v>5.0965906161439174E-4</c:v>
                </c:pt>
                <c:pt idx="23">
                  <c:v>3.822442962107938E-4</c:v>
                </c:pt>
                <c:pt idx="24">
                  <c:v>2.8668322215809534E-4</c:v>
                </c:pt>
                <c:pt idx="25">
                  <c:v>2.150124166185715E-4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FF-48B8-857E-7F1A8359B0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18377536"/>
        <c:axId val="1918379312"/>
      </c:barChart>
      <c:catAx>
        <c:axId val="1918377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Number of Customers in System</a:t>
                </a:r>
              </a:p>
            </c:rich>
          </c:tx>
          <c:layout>
            <c:manualLayout>
              <c:xMode val="edge"/>
              <c:yMode val="edge"/>
              <c:x val="0.37162233099240999"/>
              <c:y val="0.85380608125738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9183793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1837931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Probability</a:t>
                </a:r>
              </a:p>
            </c:rich>
          </c:tx>
          <c:layout>
            <c:manualLayout>
              <c:xMode val="edge"/>
              <c:yMode val="edge"/>
              <c:x val="1.8018018018018001E-2"/>
              <c:y val="0.2865515494773679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91837753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1892203978841"/>
          <c:y val="0.105263759044677"/>
          <c:w val="0.817569365782846"/>
          <c:h val="0.6198865810408730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'M|M|s (CFO change3)'!$G$13:$G$38</c:f>
              <c:numCache>
                <c:formatCode>General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</c:numCache>
            </c:numRef>
          </c:cat>
          <c:val>
            <c:numRef>
              <c:f>'M|M|s (CFO change3)'!$H$13:$H$38</c:f>
              <c:numCache>
                <c:formatCode>General</c:formatCode>
                <c:ptCount val="26"/>
                <c:pt idx="0">
                  <c:v>7.476635514018691E-2</c:v>
                </c:pt>
                <c:pt idx="1">
                  <c:v>0.16822429906542055</c:v>
                </c:pt>
                <c:pt idx="2">
                  <c:v>0.18925233644859812</c:v>
                </c:pt>
                <c:pt idx="3">
                  <c:v>0.14193925233644858</c:v>
                </c:pt>
                <c:pt idx="4">
                  <c:v>0.10645443925233644</c:v>
                </c:pt>
                <c:pt idx="5">
                  <c:v>7.9840829439252331E-2</c:v>
                </c:pt>
                <c:pt idx="6">
                  <c:v>5.9880622079439248E-2</c:v>
                </c:pt>
                <c:pt idx="7">
                  <c:v>4.4910466559579434E-2</c:v>
                </c:pt>
                <c:pt idx="8">
                  <c:v>3.3682849919684579E-2</c:v>
                </c:pt>
                <c:pt idx="9">
                  <c:v>2.5262137439763431E-2</c:v>
                </c:pt>
                <c:pt idx="10">
                  <c:v>1.8946603079822575E-2</c:v>
                </c:pt>
                <c:pt idx="11">
                  <c:v>1.420995230986693E-2</c:v>
                </c:pt>
                <c:pt idx="12">
                  <c:v>1.0657464232400198E-2</c:v>
                </c:pt>
                <c:pt idx="13">
                  <c:v>7.9930981743001495E-3</c:v>
                </c:pt>
                <c:pt idx="14">
                  <c:v>5.9948236307251108E-3</c:v>
                </c:pt>
                <c:pt idx="15">
                  <c:v>4.4961177230438331E-3</c:v>
                </c:pt>
                <c:pt idx="16">
                  <c:v>3.3720882922828755E-3</c:v>
                </c:pt>
                <c:pt idx="17">
                  <c:v>2.5290662192121562E-3</c:v>
                </c:pt>
                <c:pt idx="18">
                  <c:v>1.8967996644091176E-3</c:v>
                </c:pt>
                <c:pt idx="19">
                  <c:v>1.4225997483068378E-3</c:v>
                </c:pt>
                <c:pt idx="20">
                  <c:v>1.0669498112301284E-3</c:v>
                </c:pt>
                <c:pt idx="21">
                  <c:v>8.0021235842259641E-4</c:v>
                </c:pt>
                <c:pt idx="22">
                  <c:v>6.0015926881694728E-4</c:v>
                </c:pt>
                <c:pt idx="23">
                  <c:v>4.5011945161271046E-4</c:v>
                </c:pt>
                <c:pt idx="24">
                  <c:v>3.375895887095329E-4</c:v>
                </c:pt>
                <c:pt idx="25">
                  <c:v>2.5319219153214964E-4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96-4E3E-810B-FAA1D5DE5D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18377536"/>
        <c:axId val="1918379312"/>
      </c:barChart>
      <c:catAx>
        <c:axId val="1918377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Number of Customers in System</a:t>
                </a:r>
              </a:p>
            </c:rich>
          </c:tx>
          <c:layout>
            <c:manualLayout>
              <c:xMode val="edge"/>
              <c:yMode val="edge"/>
              <c:x val="0.37162233099240999"/>
              <c:y val="0.85380608125738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9183793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1837931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Probability</a:t>
                </a:r>
              </a:p>
            </c:rich>
          </c:tx>
          <c:layout>
            <c:manualLayout>
              <c:xMode val="edge"/>
              <c:yMode val="edge"/>
              <c:x val="1.8018018018018001E-2"/>
              <c:y val="0.2865515494773679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91837753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1892203978841"/>
          <c:y val="0.104651459879917"/>
          <c:w val="0.81982162298885997"/>
          <c:h val="0.6220947892861710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'Economic Analysis'!$F$13:$F$38</c:f>
              <c:numCache>
                <c:formatCode>General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</c:numCache>
            </c:numRef>
          </c:cat>
          <c:val>
            <c:numRef>
              <c:f>'Economic Analysis'!$G$13:$G$38</c:f>
              <c:numCache>
                <c:formatCode>General</c:formatCode>
                <c:ptCount val="26"/>
                <c:pt idx="0">
                  <c:v>0.21052631578947367</c:v>
                </c:pt>
                <c:pt idx="1">
                  <c:v>0.31578947368421051</c:v>
                </c:pt>
                <c:pt idx="2">
                  <c:v>0.23684210526315788</c:v>
                </c:pt>
                <c:pt idx="3">
                  <c:v>0.11842105263157894</c:v>
                </c:pt>
                <c:pt idx="4">
                  <c:v>5.9210526315789463E-2</c:v>
                </c:pt>
                <c:pt idx="5">
                  <c:v>2.9605263157894735E-2</c:v>
                </c:pt>
                <c:pt idx="6">
                  <c:v>1.4802631578947368E-2</c:v>
                </c:pt>
                <c:pt idx="7">
                  <c:v>7.4013157894736838E-3</c:v>
                </c:pt>
                <c:pt idx="8">
                  <c:v>3.7006578947368423E-3</c:v>
                </c:pt>
                <c:pt idx="9">
                  <c:v>1.8503289473684207E-3</c:v>
                </c:pt>
                <c:pt idx="10">
                  <c:v>9.2516447368421058E-4</c:v>
                </c:pt>
                <c:pt idx="11">
                  <c:v>4.6258223684210524E-4</c:v>
                </c:pt>
                <c:pt idx="12">
                  <c:v>2.3129111842105262E-4</c:v>
                </c:pt>
                <c:pt idx="13">
                  <c:v>1.156455592105263E-4</c:v>
                </c:pt>
                <c:pt idx="14">
                  <c:v>5.7822779605263155E-5</c:v>
                </c:pt>
                <c:pt idx="15">
                  <c:v>2.8911389802631577E-5</c:v>
                </c:pt>
                <c:pt idx="16">
                  <c:v>1.4455694901315787E-5</c:v>
                </c:pt>
                <c:pt idx="17">
                  <c:v>7.2278474506578943E-6</c:v>
                </c:pt>
                <c:pt idx="18">
                  <c:v>3.6139237253289476E-6</c:v>
                </c:pt>
                <c:pt idx="19">
                  <c:v>1.8069618626644736E-6</c:v>
                </c:pt>
                <c:pt idx="20">
                  <c:v>9.0348093133223679E-7</c:v>
                </c:pt>
                <c:pt idx="21">
                  <c:v>4.517404656661184E-7</c:v>
                </c:pt>
                <c:pt idx="22">
                  <c:v>2.258702328330592E-7</c:v>
                </c:pt>
                <c:pt idx="23">
                  <c:v>1.129351164165296E-7</c:v>
                </c:pt>
                <c:pt idx="24">
                  <c:v>5.6467558208264799E-8</c:v>
                </c:pt>
                <c:pt idx="25">
                  <c:v>2.82337791041324E-8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D4-4B6D-AD31-B53387C79F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5641520"/>
        <c:axId val="2025644912"/>
      </c:barChart>
      <c:catAx>
        <c:axId val="20256415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Number of Customers in System</a:t>
                </a:r>
              </a:p>
            </c:rich>
          </c:tx>
          <c:layout>
            <c:manualLayout>
              <c:xMode val="edge"/>
              <c:yMode val="edge"/>
              <c:x val="0.373874583244662"/>
              <c:y val="0.854653604345968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256449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02564491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Probability</a:t>
                </a:r>
              </a:p>
            </c:rich>
          </c:tx>
          <c:layout>
            <c:manualLayout>
              <c:xMode val="edge"/>
              <c:yMode val="edge"/>
              <c:x val="1.8018018018018001E-2"/>
              <c:y val="0.2848843313190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02564152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</xdr:row>
      <xdr:rowOff>0</xdr:rowOff>
    </xdr:from>
    <xdr:to>
      <xdr:col>4</xdr:col>
      <xdr:colOff>1571625</xdr:colOff>
      <xdr:row>23</xdr:row>
      <xdr:rowOff>0</xdr:rowOff>
    </xdr:to>
    <xdr:graphicFrame macro="">
      <xdr:nvGraphicFramePr>
        <xdr:cNvPr id="1026" name="Chart 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</xdr:row>
      <xdr:rowOff>0</xdr:rowOff>
    </xdr:from>
    <xdr:to>
      <xdr:col>4</xdr:col>
      <xdr:colOff>1571625</xdr:colOff>
      <xdr:row>23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B25B422-E3C2-4CC0-8296-7BF4416ADF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</xdr:row>
      <xdr:rowOff>0</xdr:rowOff>
    </xdr:from>
    <xdr:to>
      <xdr:col>4</xdr:col>
      <xdr:colOff>1571625</xdr:colOff>
      <xdr:row>23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44146A2-26E8-4156-990C-01A3085A77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</xdr:row>
      <xdr:rowOff>0</xdr:rowOff>
    </xdr:from>
    <xdr:to>
      <xdr:col>4</xdr:col>
      <xdr:colOff>1571625</xdr:colOff>
      <xdr:row>23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9C3FAF-7B4A-403D-8603-6EC5BCB936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</xdr:row>
      <xdr:rowOff>0</xdr:rowOff>
    </xdr:from>
    <xdr:to>
      <xdr:col>4</xdr:col>
      <xdr:colOff>1571625</xdr:colOff>
      <xdr:row>23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8DE2171-FC8E-4B00-9F59-3E5C416CB8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22</xdr:row>
      <xdr:rowOff>38100</xdr:rowOff>
    </xdr:from>
    <xdr:to>
      <xdr:col>4</xdr:col>
      <xdr:colOff>1581150</xdr:colOff>
      <xdr:row>32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F3FD36D-20A7-4176-B543-144C7F5BD5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38"/>
  <sheetViews>
    <sheetView tabSelected="1" workbookViewId="0">
      <selection activeCell="H14" sqref="H14"/>
    </sheetView>
  </sheetViews>
  <sheetFormatPr defaultColWidth="10.7109375" defaultRowHeight="12.75"/>
  <cols>
    <col min="1" max="1" width="2.7109375" style="6" customWidth="1"/>
    <col min="2" max="2" width="12.85546875" style="4" customWidth="1"/>
    <col min="3" max="3" width="9.42578125" style="5" customWidth="1"/>
    <col min="4" max="4" width="20.85546875" style="6" customWidth="1"/>
    <col min="5" max="5" width="27" style="6" customWidth="1"/>
    <col min="6" max="6" width="5.5703125" style="6" customWidth="1"/>
    <col min="7" max="7" width="4.85546875" style="4" bestFit="1" customWidth="1"/>
    <col min="8" max="8" width="12" style="6" bestFit="1" customWidth="1"/>
    <col min="9" max="9" width="10.7109375" style="6" customWidth="1"/>
    <col min="10" max="10" width="12.7109375" style="6" bestFit="1" customWidth="1"/>
    <col min="11" max="11" width="8.7109375" style="6" customWidth="1"/>
    <col min="12" max="16384" width="10.7109375" style="6"/>
  </cols>
  <sheetData>
    <row r="1" spans="1:14" ht="18">
      <c r="A1" s="3" t="s">
        <v>45</v>
      </c>
    </row>
    <row r="2" spans="1:14" ht="13.5" thickBot="1"/>
    <row r="3" spans="1:14" ht="13.5" thickBot="1">
      <c r="C3" s="7" t="s">
        <v>0</v>
      </c>
      <c r="H3" s="8" t="s">
        <v>1</v>
      </c>
      <c r="J3" s="9" t="s">
        <v>13</v>
      </c>
      <c r="K3" s="10" t="s">
        <v>14</v>
      </c>
    </row>
    <row r="4" spans="1:14">
      <c r="A4" s="21">
        <f t="shared" ref="A4:A29" si="0">IF(G13&lt;=s-1,((Lambda/Mu)^G13)/FACT(G13),0)</f>
        <v>1</v>
      </c>
      <c r="B4" s="1" t="s">
        <v>2</v>
      </c>
      <c r="C4" s="27">
        <v>3</v>
      </c>
      <c r="D4" s="6" t="s">
        <v>10</v>
      </c>
      <c r="G4" s="11" t="s">
        <v>3</v>
      </c>
      <c r="H4" s="23">
        <f>IF(Rho&lt;1,Lq+Lambda/Mu,NA())</f>
        <v>3</v>
      </c>
      <c r="J4" s="12" t="s">
        <v>15</v>
      </c>
      <c r="K4" s="13" t="s">
        <v>38</v>
      </c>
    </row>
    <row r="5" spans="1:14" ht="21">
      <c r="A5" s="21">
        <f t="shared" si="0"/>
        <v>0</v>
      </c>
      <c r="B5" s="1" t="s">
        <v>4</v>
      </c>
      <c r="C5" s="27">
        <v>4</v>
      </c>
      <c r="D5" s="6" t="s">
        <v>11</v>
      </c>
      <c r="G5" s="11" t="s">
        <v>34</v>
      </c>
      <c r="H5" s="24">
        <f>IF(Rho&lt;1,Lambda*Mu*((Lambda/Mu)^s)/(FACT(s-1)*(s*Mu-Lambda)^2/P0),NA())</f>
        <v>2.25</v>
      </c>
      <c r="J5" s="14" t="s">
        <v>16</v>
      </c>
      <c r="K5" s="15" t="s">
        <v>17</v>
      </c>
      <c r="M5" s="46" t="s">
        <v>66</v>
      </c>
      <c r="N5" s="44"/>
    </row>
    <row r="6" spans="1:14" ht="21">
      <c r="A6" s="21">
        <f t="shared" si="0"/>
        <v>0</v>
      </c>
      <c r="B6" s="4" t="s">
        <v>5</v>
      </c>
      <c r="C6" s="27">
        <v>1</v>
      </c>
      <c r="D6" s="6" t="s">
        <v>6</v>
      </c>
      <c r="G6" s="11"/>
      <c r="H6" s="24"/>
      <c r="I6" s="20"/>
      <c r="J6" s="14" t="s">
        <v>18</v>
      </c>
      <c r="K6" s="15" t="s">
        <v>39</v>
      </c>
      <c r="M6" s="46" t="s">
        <v>67</v>
      </c>
      <c r="N6" s="44"/>
    </row>
    <row r="7" spans="1:14" ht="21.75" thickBot="1">
      <c r="A7" s="21">
        <f t="shared" si="0"/>
        <v>0</v>
      </c>
      <c r="G7" s="11" t="s">
        <v>7</v>
      </c>
      <c r="H7" s="24">
        <f>IF(Rho&lt;1,L/Lambda,NA())</f>
        <v>1</v>
      </c>
      <c r="I7" s="5"/>
      <c r="J7" s="14" t="s">
        <v>19</v>
      </c>
      <c r="K7" s="15" t="s">
        <v>20</v>
      </c>
      <c r="M7" s="47" t="s">
        <v>68</v>
      </c>
      <c r="N7" s="45"/>
    </row>
    <row r="8" spans="1:14" ht="21.75" thickBot="1">
      <c r="A8" s="21">
        <f t="shared" si="0"/>
        <v>0</v>
      </c>
      <c r="B8" s="11" t="s">
        <v>33</v>
      </c>
      <c r="C8" s="22">
        <f>IF((s-1-Lambda/Mu)=0,EXP(-Mu*C9)*(1+P0*((Lambda/Mu)^s)/(FACT(s)*(1-Rho))*Mu*C9),EXP(-Mu*C9)*(1+P0*((Lambda/Mu)^s)/(FACT(s)*(1-Rho))*(1-EXP(-Mu*C9*(s-1-Lambda/Mu)))/(s-1-Lambda/Mu)))</f>
        <v>0.36787944117144228</v>
      </c>
      <c r="G8" s="11" t="s">
        <v>35</v>
      </c>
      <c r="H8" s="24">
        <f>IF(Rho&lt;1,Lq/Lambda,NA())</f>
        <v>0.75</v>
      </c>
      <c r="I8" s="5"/>
      <c r="J8" s="14" t="s">
        <v>12</v>
      </c>
      <c r="K8" s="15" t="s">
        <v>23</v>
      </c>
      <c r="M8" s="47" t="s">
        <v>69</v>
      </c>
      <c r="N8" s="45"/>
    </row>
    <row r="9" spans="1:14">
      <c r="A9" s="21">
        <f t="shared" si="0"/>
        <v>0</v>
      </c>
      <c r="B9" s="4" t="s">
        <v>8</v>
      </c>
      <c r="C9" s="27">
        <v>1</v>
      </c>
      <c r="D9" s="6" t="s">
        <v>100</v>
      </c>
      <c r="E9" s="16" t="str">
        <f>IF(Rho&gt;=1,"Model invalid because:","")</f>
        <v/>
      </c>
      <c r="G9" s="11"/>
      <c r="H9" s="24"/>
      <c r="J9" s="14" t="s">
        <v>21</v>
      </c>
      <c r="K9" s="15" t="s">
        <v>40</v>
      </c>
    </row>
    <row r="10" spans="1:14" ht="13.5" thickBot="1">
      <c r="A10" s="21">
        <f t="shared" si="0"/>
        <v>0</v>
      </c>
      <c r="E10" s="26" t="str">
        <f>IF(Rho&gt;=1,"   r   &gt;=   1","")</f>
        <v/>
      </c>
      <c r="G10" s="2" t="s">
        <v>9</v>
      </c>
      <c r="H10" s="25">
        <f>Lambda/(s*Mu)</f>
        <v>0.75</v>
      </c>
      <c r="J10" s="14" t="s">
        <v>22</v>
      </c>
      <c r="K10" s="15" t="s">
        <v>41</v>
      </c>
    </row>
    <row r="11" spans="1:14" ht="16.5" thickBot="1">
      <c r="A11" s="21">
        <f t="shared" si="0"/>
        <v>0</v>
      </c>
      <c r="B11" s="11" t="s">
        <v>36</v>
      </c>
      <c r="C11" s="22">
        <f ca="1">(1-SUM(OFFSET(P0,0,0,s,1)))*EXP(-s*Mu*(1-Rho)*C12)</f>
        <v>0.27590958087858175</v>
      </c>
      <c r="J11" s="14" t="s">
        <v>24</v>
      </c>
      <c r="K11" s="15" t="s">
        <v>42</v>
      </c>
    </row>
    <row r="12" spans="1:14" ht="16.5" thickBot="1">
      <c r="A12" s="21">
        <f t="shared" si="0"/>
        <v>0</v>
      </c>
      <c r="B12" s="4" t="s">
        <v>8</v>
      </c>
      <c r="C12" s="27">
        <v>1</v>
      </c>
      <c r="D12" s="6" t="s">
        <v>100</v>
      </c>
      <c r="G12" s="11" t="s">
        <v>12</v>
      </c>
      <c r="H12" s="17" t="s">
        <v>37</v>
      </c>
      <c r="J12" s="14" t="s">
        <v>25</v>
      </c>
      <c r="K12" s="15" t="s">
        <v>26</v>
      </c>
    </row>
    <row r="13" spans="1:14">
      <c r="A13" s="21">
        <f t="shared" si="0"/>
        <v>0</v>
      </c>
      <c r="G13" s="11">
        <v>0</v>
      </c>
      <c r="H13" s="23">
        <f>IF(Rho&lt;1,1/(SUM(A4:A29)+((Lambda/Mu)^s)/(FACT(s)*(1-Lambda/(s*Mu)))),NA())</f>
        <v>0.25</v>
      </c>
      <c r="J13" s="14" t="s">
        <v>27</v>
      </c>
      <c r="K13" s="15" t="s">
        <v>28</v>
      </c>
    </row>
    <row r="14" spans="1:14">
      <c r="A14" s="21">
        <f t="shared" si="0"/>
        <v>0</v>
      </c>
      <c r="B14" s="6"/>
      <c r="C14" s="6"/>
      <c r="G14" s="11">
        <v>1</v>
      </c>
      <c r="H14" s="24">
        <f t="shared" ref="H14:H38" si="1">IF(Rho&lt;1,IF(s=1,(1-Rho)*Rho^n,IF(s&gt;=n,((Lambda/Mu)^n)*P0/FACT(n),((Lambda/Mu)^n)*P0/(FACT(s)*(s^(n-s))))),NA())</f>
        <v>0.1875</v>
      </c>
      <c r="J14" s="14" t="s">
        <v>29</v>
      </c>
      <c r="K14" s="15" t="s">
        <v>30</v>
      </c>
    </row>
    <row r="15" spans="1:14">
      <c r="A15" s="21">
        <f t="shared" si="0"/>
        <v>0</v>
      </c>
      <c r="B15" s="6"/>
      <c r="C15" s="6"/>
      <c r="G15" s="11">
        <v>2</v>
      </c>
      <c r="H15" s="24">
        <f t="shared" si="1"/>
        <v>0.140625</v>
      </c>
      <c r="J15" s="14" t="s">
        <v>31</v>
      </c>
      <c r="K15" s="15" t="s">
        <v>43</v>
      </c>
    </row>
    <row r="16" spans="1:14" ht="13.5" thickBot="1">
      <c r="A16" s="21">
        <f t="shared" si="0"/>
        <v>0</v>
      </c>
      <c r="B16" s="6"/>
      <c r="C16" s="6"/>
      <c r="G16" s="11">
        <v>3</v>
      </c>
      <c r="H16" s="24">
        <f t="shared" si="1"/>
        <v>0.10546875</v>
      </c>
      <c r="J16" s="18" t="s">
        <v>32</v>
      </c>
      <c r="K16" s="19" t="s">
        <v>44</v>
      </c>
    </row>
    <row r="17" spans="1:8">
      <c r="A17" s="21">
        <f t="shared" si="0"/>
        <v>0</v>
      </c>
      <c r="B17" s="6"/>
      <c r="C17" s="6"/>
      <c r="G17" s="11">
        <v>4</v>
      </c>
      <c r="H17" s="24">
        <f t="shared" si="1"/>
        <v>7.91015625E-2</v>
      </c>
    </row>
    <row r="18" spans="1:8">
      <c r="A18" s="21">
        <f t="shared" si="0"/>
        <v>0</v>
      </c>
      <c r="B18" s="6"/>
      <c r="G18" s="11">
        <v>5</v>
      </c>
      <c r="H18" s="24">
        <f t="shared" si="1"/>
        <v>5.9326171875E-2</v>
      </c>
    </row>
    <row r="19" spans="1:8">
      <c r="A19" s="21">
        <f t="shared" si="0"/>
        <v>0</v>
      </c>
      <c r="B19" s="6"/>
      <c r="G19" s="11">
        <v>6</v>
      </c>
      <c r="H19" s="24">
        <f t="shared" si="1"/>
        <v>4.449462890625E-2</v>
      </c>
    </row>
    <row r="20" spans="1:8">
      <c r="A20" s="21">
        <f t="shared" si="0"/>
        <v>0</v>
      </c>
      <c r="B20" s="6"/>
      <c r="G20" s="11">
        <v>7</v>
      </c>
      <c r="H20" s="24">
        <f t="shared" si="1"/>
        <v>3.33709716796875E-2</v>
      </c>
    </row>
    <row r="21" spans="1:8">
      <c r="A21" s="21">
        <f t="shared" si="0"/>
        <v>0</v>
      </c>
      <c r="G21" s="11">
        <v>8</v>
      </c>
      <c r="H21" s="24">
        <f t="shared" si="1"/>
        <v>2.5028228759765625E-2</v>
      </c>
    </row>
    <row r="22" spans="1:8">
      <c r="A22" s="21">
        <f t="shared" si="0"/>
        <v>0</v>
      </c>
      <c r="G22" s="11">
        <v>9</v>
      </c>
      <c r="H22" s="24">
        <f t="shared" si="1"/>
        <v>1.8771171569824219E-2</v>
      </c>
    </row>
    <row r="23" spans="1:8">
      <c r="A23" s="21">
        <f t="shared" si="0"/>
        <v>0</v>
      </c>
      <c r="G23" s="11">
        <v>10</v>
      </c>
      <c r="H23" s="24">
        <f t="shared" si="1"/>
        <v>1.4078378677368164E-2</v>
      </c>
    </row>
    <row r="24" spans="1:8">
      <c r="A24" s="21">
        <f t="shared" si="0"/>
        <v>0</v>
      </c>
      <c r="G24" s="11">
        <v>11</v>
      </c>
      <c r="H24" s="24">
        <f t="shared" si="1"/>
        <v>1.0558784008026123E-2</v>
      </c>
    </row>
    <row r="25" spans="1:8">
      <c r="A25" s="21">
        <f t="shared" si="0"/>
        <v>0</v>
      </c>
      <c r="G25" s="11">
        <v>12</v>
      </c>
      <c r="H25" s="24">
        <f t="shared" si="1"/>
        <v>7.9190880060195923E-3</v>
      </c>
    </row>
    <row r="26" spans="1:8">
      <c r="A26" s="21">
        <f t="shared" si="0"/>
        <v>0</v>
      </c>
      <c r="G26" s="11">
        <v>13</v>
      </c>
      <c r="H26" s="24">
        <f t="shared" si="1"/>
        <v>5.9393160045146942E-3</v>
      </c>
    </row>
    <row r="27" spans="1:8">
      <c r="A27" s="21">
        <f t="shared" si="0"/>
        <v>0</v>
      </c>
      <c r="G27" s="11">
        <v>14</v>
      </c>
      <c r="H27" s="24">
        <f t="shared" si="1"/>
        <v>4.4544870033860207E-3</v>
      </c>
    </row>
    <row r="28" spans="1:8">
      <c r="A28" s="21">
        <f t="shared" si="0"/>
        <v>0</v>
      </c>
      <c r="G28" s="11">
        <v>15</v>
      </c>
      <c r="H28" s="24">
        <f t="shared" si="1"/>
        <v>3.3408652525395155E-3</v>
      </c>
    </row>
    <row r="29" spans="1:8">
      <c r="A29" s="21">
        <f t="shared" si="0"/>
        <v>0</v>
      </c>
      <c r="G29" s="11">
        <v>16</v>
      </c>
      <c r="H29" s="24">
        <f t="shared" si="1"/>
        <v>2.5056489394046366E-3</v>
      </c>
    </row>
    <row r="30" spans="1:8">
      <c r="G30" s="11">
        <v>17</v>
      </c>
      <c r="H30" s="24">
        <f t="shared" si="1"/>
        <v>1.8792367045534775E-3</v>
      </c>
    </row>
    <row r="31" spans="1:8">
      <c r="G31" s="11">
        <v>18</v>
      </c>
      <c r="H31" s="24">
        <f t="shared" si="1"/>
        <v>1.4094275284151081E-3</v>
      </c>
    </row>
    <row r="32" spans="1:8">
      <c r="G32" s="11">
        <v>19</v>
      </c>
      <c r="H32" s="24">
        <f t="shared" si="1"/>
        <v>1.0570706463113311E-3</v>
      </c>
    </row>
    <row r="33" spans="7:8">
      <c r="G33" s="11">
        <v>20</v>
      </c>
      <c r="H33" s="24">
        <f t="shared" si="1"/>
        <v>7.9280298473349831E-4</v>
      </c>
    </row>
    <row r="34" spans="7:8">
      <c r="G34" s="11">
        <v>21</v>
      </c>
      <c r="H34" s="24">
        <f t="shared" si="1"/>
        <v>5.9460223855012373E-4</v>
      </c>
    </row>
    <row r="35" spans="7:8">
      <c r="G35" s="11">
        <v>22</v>
      </c>
      <c r="H35" s="24">
        <f t="shared" si="1"/>
        <v>4.459516789125928E-4</v>
      </c>
    </row>
    <row r="36" spans="7:8">
      <c r="G36" s="11">
        <v>23</v>
      </c>
      <c r="H36" s="24">
        <f t="shared" si="1"/>
        <v>3.344637591844446E-4</v>
      </c>
    </row>
    <row r="37" spans="7:8">
      <c r="G37" s="11">
        <v>24</v>
      </c>
      <c r="H37" s="24">
        <f t="shared" si="1"/>
        <v>2.5084781938833345E-4</v>
      </c>
    </row>
    <row r="38" spans="7:8" ht="13.5" thickBot="1">
      <c r="G38" s="11">
        <v>25</v>
      </c>
      <c r="H38" s="25">
        <f t="shared" si="1"/>
        <v>1.8813586454125009E-4</v>
      </c>
    </row>
  </sheetData>
  <dataConsolidate/>
  <phoneticPr fontId="0" type="noConversion"/>
  <dataValidations count="5">
    <dataValidation type="decimal" operator="greaterThanOrEqual" allowBlank="1" showInputMessage="1" showErrorMessage="1" errorTitle="Warning" error="t must be greater than or equal to 0." sqref="C9" xr:uid="{00000000-0002-0000-0000-000000000000}">
      <formula1>0</formula1>
    </dataValidation>
    <dataValidation type="decimal" operator="greaterThanOrEqual" allowBlank="1" showInputMessage="1" showErrorMessage="1" error="t must be greater than or equal to 0." sqref="C12" xr:uid="{00000000-0002-0000-0000-000001000000}">
      <formula1>0</formula1>
    </dataValidation>
    <dataValidation type="whole" allowBlank="1" showInputMessage="1" showErrorMessage="1" error="The number of servers must be an integer between 1 and 25 (inclusive)." sqref="C6" xr:uid="{00000000-0002-0000-0000-000002000000}">
      <formula1>1</formula1>
      <formula2>25</formula2>
    </dataValidation>
    <dataValidation type="decimal" operator="greaterThan" allowBlank="1" showInputMessage="1" showErrorMessage="1" error="The mean arrival rate must be greater than zero." sqref="C4" xr:uid="{00000000-0002-0000-0000-000003000000}">
      <formula1>0</formula1>
    </dataValidation>
    <dataValidation type="decimal" operator="greaterThan" allowBlank="1" showInputMessage="1" showErrorMessage="1" error="The mean service rate must be greater than zero." sqref="C5" xr:uid="{00000000-0002-0000-0000-000004000000}">
      <formula1>0</formula1>
    </dataValidation>
  </dataValidations>
  <printOptions headings="1" gridLines="1"/>
  <pageMargins left="0.75" right="0.75" top="1" bottom="1" header="0.5" footer="0.5"/>
  <pageSetup scale="82" orientation="landscape" horizontalDpi="4294967292" verticalDpi="4294967292" r:id="rId1"/>
  <headerFooter alignWithMargins="0"/>
  <ignoredErrors>
    <ignoredError sqref="E9:E10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E1121-D445-49D1-8B74-3C4AC4633F29}">
  <sheetPr>
    <pageSetUpPr fitToPage="1"/>
  </sheetPr>
  <dimension ref="A1:M38"/>
  <sheetViews>
    <sheetView workbookViewId="0">
      <selection activeCell="C4" sqref="C4"/>
    </sheetView>
  </sheetViews>
  <sheetFormatPr defaultColWidth="10.7109375" defaultRowHeight="12.75"/>
  <cols>
    <col min="1" max="1" width="2.7109375" style="6" customWidth="1"/>
    <col min="2" max="2" width="12.85546875" style="4" customWidth="1"/>
    <col min="3" max="3" width="9.42578125" style="5" customWidth="1"/>
    <col min="4" max="4" width="17.5703125" style="6" customWidth="1"/>
    <col min="5" max="5" width="27" style="6" customWidth="1"/>
    <col min="6" max="6" width="5.5703125" style="6" customWidth="1"/>
    <col min="7" max="7" width="4.85546875" style="4" bestFit="1" customWidth="1"/>
    <col min="8" max="8" width="12" style="6" bestFit="1" customWidth="1"/>
    <col min="9" max="9" width="10.7109375" style="6" customWidth="1"/>
    <col min="10" max="10" width="12.7109375" style="6" bestFit="1" customWidth="1"/>
    <col min="11" max="11" width="8.7109375" style="6" customWidth="1"/>
    <col min="12" max="16384" width="10.7109375" style="6"/>
  </cols>
  <sheetData>
    <row r="1" spans="1:13" ht="18">
      <c r="A1" s="3" t="s">
        <v>45</v>
      </c>
    </row>
    <row r="2" spans="1:13" ht="13.5" thickBot="1"/>
    <row r="3" spans="1:13" ht="13.5" thickBot="1">
      <c r="C3" s="7" t="s">
        <v>0</v>
      </c>
      <c r="H3" s="8" t="s">
        <v>1</v>
      </c>
      <c r="J3" s="9" t="s">
        <v>13</v>
      </c>
      <c r="K3" s="10" t="s">
        <v>14</v>
      </c>
    </row>
    <row r="4" spans="1:13" ht="18.75">
      <c r="A4" s="21">
        <f t="shared" ref="A4:A29" si="0">IF(G13&lt;=s-1,((Lambda/Mu)^G13)/FACT(G13),0)</f>
        <v>1</v>
      </c>
      <c r="B4" s="1" t="s">
        <v>2</v>
      </c>
      <c r="C4" s="27">
        <f>1.25/1</f>
        <v>1.25</v>
      </c>
      <c r="D4" s="6" t="s">
        <v>10</v>
      </c>
      <c r="G4" s="11" t="s">
        <v>3</v>
      </c>
      <c r="H4" s="23">
        <f>IF(Rho&lt;1,Lq+Lambda/Mu,NA())</f>
        <v>1.6666666666666665</v>
      </c>
      <c r="J4" s="12" t="s">
        <v>15</v>
      </c>
      <c r="K4" s="13" t="s">
        <v>38</v>
      </c>
      <c r="M4" s="42" t="s">
        <v>62</v>
      </c>
    </row>
    <row r="5" spans="1:13" ht="20.25">
      <c r="A5" s="21">
        <f t="shared" si="0"/>
        <v>0</v>
      </c>
      <c r="B5" s="1" t="s">
        <v>4</v>
      </c>
      <c r="C5" s="27">
        <v>2</v>
      </c>
      <c r="D5" s="6" t="s">
        <v>11</v>
      </c>
      <c r="G5" s="11" t="s">
        <v>34</v>
      </c>
      <c r="H5" s="24">
        <f>IF(Rho&lt;1,Lambda*Mu*((Lambda/Mu)^s)/(FACT(s-1)*(s*Mu-Lambda)^2/P0),NA())</f>
        <v>1.0416666666666665</v>
      </c>
      <c r="J5" s="14" t="s">
        <v>16</v>
      </c>
      <c r="K5" s="15" t="s">
        <v>17</v>
      </c>
      <c r="M5" s="42" t="s">
        <v>63</v>
      </c>
    </row>
    <row r="6" spans="1:13" ht="18.75">
      <c r="A6" s="21">
        <f t="shared" si="0"/>
        <v>0</v>
      </c>
      <c r="B6" s="4" t="s">
        <v>5</v>
      </c>
      <c r="C6" s="27">
        <v>1</v>
      </c>
      <c r="D6" s="6" t="s">
        <v>6</v>
      </c>
      <c r="G6" s="11"/>
      <c r="H6" s="24"/>
      <c r="I6" s="20"/>
      <c r="J6" s="14" t="s">
        <v>18</v>
      </c>
      <c r="K6" s="15" t="s">
        <v>39</v>
      </c>
      <c r="M6" s="43" t="s">
        <v>64</v>
      </c>
    </row>
    <row r="7" spans="1:13" ht="21" thickBot="1">
      <c r="A7" s="21">
        <f t="shared" si="0"/>
        <v>0</v>
      </c>
      <c r="G7" s="11" t="s">
        <v>7</v>
      </c>
      <c r="H7" s="24">
        <f>IF(Rho&lt;1,L/Lambda,NA())</f>
        <v>1.3333333333333333</v>
      </c>
      <c r="I7" s="5"/>
      <c r="J7" s="14" t="s">
        <v>19</v>
      </c>
      <c r="K7" s="15" t="s">
        <v>20</v>
      </c>
      <c r="M7" s="43" t="s">
        <v>65</v>
      </c>
    </row>
    <row r="8" spans="1:13" ht="16.5" thickBot="1">
      <c r="A8" s="21">
        <f t="shared" si="0"/>
        <v>0</v>
      </c>
      <c r="B8" s="11" t="s">
        <v>33</v>
      </c>
      <c r="C8" s="22">
        <f>IF((s-1-Lambda/Mu)=0,EXP(-Mu*C9)*(1+P0*((Lambda/Mu)^s)/(FACT(s)*(1-Rho))*Mu*C9),EXP(-Mu*C9)*(1+P0*((Lambda/Mu)^s)/(FACT(s)*(1-Rho))*(1-EXP(-Mu*C9*(s-1-Lambda/Mu)))/(s-1-Lambda/Mu)))</f>
        <v>0.47236655274101469</v>
      </c>
      <c r="G8" s="11" t="s">
        <v>35</v>
      </c>
      <c r="H8" s="24">
        <f>IF(Rho&lt;1,Lq/Lambda,NA())</f>
        <v>0.83333333333333326</v>
      </c>
      <c r="I8" s="5"/>
      <c r="J8" s="14" t="s">
        <v>12</v>
      </c>
      <c r="K8" s="15" t="s">
        <v>23</v>
      </c>
    </row>
    <row r="9" spans="1:13">
      <c r="A9" s="21">
        <f t="shared" si="0"/>
        <v>0</v>
      </c>
      <c r="B9" s="4" t="s">
        <v>8</v>
      </c>
      <c r="C9" s="27">
        <v>1</v>
      </c>
      <c r="D9" s="6" t="s">
        <v>101</v>
      </c>
      <c r="E9" s="16" t="str">
        <f>IF(Rho&gt;=1,"Model invalid because:","")</f>
        <v/>
      </c>
      <c r="G9" s="11"/>
      <c r="H9" s="24"/>
      <c r="J9" s="14" t="s">
        <v>21</v>
      </c>
      <c r="K9" s="15" t="s">
        <v>40</v>
      </c>
    </row>
    <row r="10" spans="1:13" ht="13.5" thickBot="1">
      <c r="A10" s="21">
        <f t="shared" si="0"/>
        <v>0</v>
      </c>
      <c r="E10" s="26" t="str">
        <f>IF(Rho&gt;=1,"   r   &gt;=   1","")</f>
        <v/>
      </c>
      <c r="G10" s="2" t="s">
        <v>9</v>
      </c>
      <c r="H10" s="25">
        <f>Lambda/(s*Mu)</f>
        <v>0.625</v>
      </c>
      <c r="J10" s="14" t="s">
        <v>22</v>
      </c>
      <c r="K10" s="15" t="s">
        <v>41</v>
      </c>
    </row>
    <row r="11" spans="1:13" ht="16.5" thickBot="1">
      <c r="A11" s="21">
        <f t="shared" si="0"/>
        <v>0</v>
      </c>
      <c r="B11" s="11" t="s">
        <v>36</v>
      </c>
      <c r="C11" s="22">
        <f ca="1">(1-SUM(OFFSET(P0,0,0,s,1)))*EXP(-s*Mu*(1-Rho)*C12)</f>
        <v>0.29522909546313419</v>
      </c>
      <c r="J11" s="14" t="s">
        <v>24</v>
      </c>
      <c r="K11" s="15" t="s">
        <v>42</v>
      </c>
    </row>
    <row r="12" spans="1:13" ht="16.5" thickBot="1">
      <c r="A12" s="21">
        <f t="shared" si="0"/>
        <v>0</v>
      </c>
      <c r="B12" s="4" t="s">
        <v>8</v>
      </c>
      <c r="C12" s="27">
        <v>1</v>
      </c>
      <c r="D12" s="6" t="s">
        <v>101</v>
      </c>
      <c r="G12" s="11" t="s">
        <v>12</v>
      </c>
      <c r="H12" s="17" t="s">
        <v>37</v>
      </c>
      <c r="J12" s="14" t="s">
        <v>25</v>
      </c>
      <c r="K12" s="15" t="s">
        <v>26</v>
      </c>
    </row>
    <row r="13" spans="1:13">
      <c r="A13" s="21">
        <f t="shared" si="0"/>
        <v>0</v>
      </c>
      <c r="G13" s="11">
        <v>0</v>
      </c>
      <c r="H13" s="23">
        <f>IF(Rho&lt;1,1/(SUM(A4:A29)+((Lambda/Mu)^s)/(FACT(s)*(1-Lambda/(s*Mu)))),NA())</f>
        <v>0.37499999999999994</v>
      </c>
      <c r="J13" s="14" t="s">
        <v>27</v>
      </c>
      <c r="K13" s="15" t="s">
        <v>28</v>
      </c>
    </row>
    <row r="14" spans="1:13">
      <c r="A14" s="21">
        <f t="shared" si="0"/>
        <v>0</v>
      </c>
      <c r="B14" s="6"/>
      <c r="C14" s="6"/>
      <c r="G14" s="11">
        <v>1</v>
      </c>
      <c r="H14" s="24">
        <f t="shared" ref="H14:H38" si="1">IF(Rho&lt;1,IF(s=1,(1-Rho)*Rho^n,IF(s&gt;=n,((Lambda/Mu)^n)*P0/FACT(n),((Lambda/Mu)^n)*P0/(FACT(s)*(s^(n-s))))),NA())</f>
        <v>0.234375</v>
      </c>
      <c r="J14" s="14" t="s">
        <v>29</v>
      </c>
      <c r="K14" s="15" t="s">
        <v>30</v>
      </c>
    </row>
    <row r="15" spans="1:13">
      <c r="A15" s="21">
        <f t="shared" si="0"/>
        <v>0</v>
      </c>
      <c r="B15" s="6"/>
      <c r="C15" s="6"/>
      <c r="G15" s="11">
        <v>2</v>
      </c>
      <c r="H15" s="24">
        <f t="shared" si="1"/>
        <v>0.146484375</v>
      </c>
      <c r="J15" s="14" t="s">
        <v>31</v>
      </c>
      <c r="K15" s="15" t="s">
        <v>43</v>
      </c>
    </row>
    <row r="16" spans="1:13" ht="13.5" thickBot="1">
      <c r="A16" s="21">
        <f t="shared" si="0"/>
        <v>0</v>
      </c>
      <c r="B16" s="6"/>
      <c r="C16" s="6"/>
      <c r="G16" s="11">
        <v>3</v>
      </c>
      <c r="H16" s="24">
        <f t="shared" si="1"/>
        <v>9.1552734375E-2</v>
      </c>
      <c r="J16" s="18" t="s">
        <v>32</v>
      </c>
      <c r="K16" s="19" t="s">
        <v>44</v>
      </c>
    </row>
    <row r="17" spans="1:8">
      <c r="A17" s="21">
        <f t="shared" si="0"/>
        <v>0</v>
      </c>
      <c r="B17" s="6"/>
      <c r="C17" s="6"/>
      <c r="G17" s="11">
        <v>4</v>
      </c>
      <c r="H17" s="24">
        <f t="shared" si="1"/>
        <v>5.7220458984375E-2</v>
      </c>
    </row>
    <row r="18" spans="1:8">
      <c r="A18" s="21">
        <f t="shared" si="0"/>
        <v>0</v>
      </c>
      <c r="B18" s="6"/>
      <c r="G18" s="11">
        <v>5</v>
      </c>
      <c r="H18" s="24">
        <f t="shared" si="1"/>
        <v>3.5762786865234375E-2</v>
      </c>
    </row>
    <row r="19" spans="1:8">
      <c r="A19" s="21">
        <f t="shared" si="0"/>
        <v>0</v>
      </c>
      <c r="B19" s="6"/>
      <c r="G19" s="11">
        <v>6</v>
      </c>
      <c r="H19" s="24">
        <f t="shared" si="1"/>
        <v>2.2351741790771484E-2</v>
      </c>
    </row>
    <row r="20" spans="1:8">
      <c r="A20" s="21">
        <f t="shared" si="0"/>
        <v>0</v>
      </c>
      <c r="B20" s="6"/>
      <c r="G20" s="11">
        <v>7</v>
      </c>
      <c r="H20" s="24">
        <f t="shared" si="1"/>
        <v>1.3969838619232178E-2</v>
      </c>
    </row>
    <row r="21" spans="1:8">
      <c r="A21" s="21">
        <f t="shared" si="0"/>
        <v>0</v>
      </c>
      <c r="G21" s="11">
        <v>8</v>
      </c>
      <c r="H21" s="24">
        <f t="shared" si="1"/>
        <v>8.7311491370201111E-3</v>
      </c>
    </row>
    <row r="22" spans="1:8">
      <c r="A22" s="21">
        <f t="shared" si="0"/>
        <v>0</v>
      </c>
      <c r="G22" s="11">
        <v>9</v>
      </c>
      <c r="H22" s="24">
        <f t="shared" si="1"/>
        <v>5.4569682106375694E-3</v>
      </c>
    </row>
    <row r="23" spans="1:8">
      <c r="A23" s="21">
        <f t="shared" si="0"/>
        <v>0</v>
      </c>
      <c r="G23" s="11">
        <v>10</v>
      </c>
      <c r="H23" s="24">
        <f t="shared" si="1"/>
        <v>3.4106051316484809E-3</v>
      </c>
    </row>
    <row r="24" spans="1:8">
      <c r="A24" s="21">
        <f t="shared" si="0"/>
        <v>0</v>
      </c>
      <c r="G24" s="11">
        <v>11</v>
      </c>
      <c r="H24" s="24">
        <f t="shared" si="1"/>
        <v>2.1316282072803006E-3</v>
      </c>
    </row>
    <row r="25" spans="1:8">
      <c r="A25" s="21">
        <f t="shared" si="0"/>
        <v>0</v>
      </c>
      <c r="G25" s="11">
        <v>12</v>
      </c>
      <c r="H25" s="24">
        <f t="shared" si="1"/>
        <v>1.3322676295501878E-3</v>
      </c>
    </row>
    <row r="26" spans="1:8">
      <c r="A26" s="21">
        <f t="shared" si="0"/>
        <v>0</v>
      </c>
      <c r="G26" s="11">
        <v>13</v>
      </c>
      <c r="H26" s="24">
        <f t="shared" si="1"/>
        <v>8.3266726846886741E-4</v>
      </c>
    </row>
    <row r="27" spans="1:8">
      <c r="A27" s="21">
        <f t="shared" si="0"/>
        <v>0</v>
      </c>
      <c r="G27" s="11">
        <v>14</v>
      </c>
      <c r="H27" s="24">
        <f t="shared" si="1"/>
        <v>5.2041704279304213E-4</v>
      </c>
    </row>
    <row r="28" spans="1:8">
      <c r="A28" s="21">
        <f t="shared" si="0"/>
        <v>0</v>
      </c>
      <c r="G28" s="11">
        <v>15</v>
      </c>
      <c r="H28" s="24">
        <f t="shared" si="1"/>
        <v>3.2526065174565133E-4</v>
      </c>
    </row>
    <row r="29" spans="1:8">
      <c r="A29" s="21">
        <f t="shared" si="0"/>
        <v>0</v>
      </c>
      <c r="G29" s="11">
        <v>16</v>
      </c>
      <c r="H29" s="24">
        <f t="shared" si="1"/>
        <v>2.0328790734103208E-4</v>
      </c>
    </row>
    <row r="30" spans="1:8">
      <c r="G30" s="11">
        <v>17</v>
      </c>
      <c r="H30" s="24">
        <f t="shared" si="1"/>
        <v>1.2705494208814505E-4</v>
      </c>
    </row>
    <row r="31" spans="1:8">
      <c r="G31" s="11">
        <v>18</v>
      </c>
      <c r="H31" s="24">
        <f t="shared" si="1"/>
        <v>7.9409338805090657E-5</v>
      </c>
    </row>
    <row r="32" spans="1:8">
      <c r="G32" s="11">
        <v>19</v>
      </c>
      <c r="H32" s="24">
        <f t="shared" si="1"/>
        <v>4.963083675318166E-5</v>
      </c>
    </row>
    <row r="33" spans="7:8">
      <c r="G33" s="11">
        <v>20</v>
      </c>
      <c r="H33" s="24">
        <f t="shared" si="1"/>
        <v>3.1019272970738538E-5</v>
      </c>
    </row>
    <row r="34" spans="7:8">
      <c r="G34" s="11">
        <v>21</v>
      </c>
      <c r="H34" s="24">
        <f t="shared" si="1"/>
        <v>1.9387045606711586E-5</v>
      </c>
    </row>
    <row r="35" spans="7:8">
      <c r="G35" s="11">
        <v>22</v>
      </c>
      <c r="H35" s="24">
        <f t="shared" si="1"/>
        <v>1.2116903504194741E-5</v>
      </c>
    </row>
    <row r="36" spans="7:8">
      <c r="G36" s="11">
        <v>23</v>
      </c>
      <c r="H36" s="24">
        <f t="shared" si="1"/>
        <v>7.5730646901217127E-6</v>
      </c>
    </row>
    <row r="37" spans="7:8">
      <c r="G37" s="11">
        <v>24</v>
      </c>
      <c r="H37" s="24">
        <f t="shared" si="1"/>
        <v>4.7331654313260708E-6</v>
      </c>
    </row>
    <row r="38" spans="7:8" ht="13.5" thickBot="1">
      <c r="G38" s="11">
        <v>25</v>
      </c>
      <c r="H38" s="25">
        <f t="shared" si="1"/>
        <v>2.9582283945787948E-6</v>
      </c>
    </row>
  </sheetData>
  <dataConsolidate/>
  <dataValidations count="5">
    <dataValidation type="decimal" operator="greaterThan" allowBlank="1" showInputMessage="1" showErrorMessage="1" error="The mean service rate must be greater than zero." sqref="C5" xr:uid="{D75944E8-168C-41FE-AF6B-805760AAE614}">
      <formula1>0</formula1>
    </dataValidation>
    <dataValidation type="decimal" operator="greaterThan" allowBlank="1" showInputMessage="1" showErrorMessage="1" error="The mean arrival rate must be greater than zero." sqref="C4" xr:uid="{48EAF4E0-3F49-4F7D-9B0B-B25A6402F03B}">
      <formula1>0</formula1>
    </dataValidation>
    <dataValidation type="whole" allowBlank="1" showInputMessage="1" showErrorMessage="1" error="The number of servers must be an integer between 1 and 25 (inclusive)." sqref="C6" xr:uid="{8547D44B-8DE8-42A9-B26E-8A75862FB051}">
      <formula1>1</formula1>
      <formula2>25</formula2>
    </dataValidation>
    <dataValidation type="decimal" operator="greaterThanOrEqual" allowBlank="1" showInputMessage="1" showErrorMessage="1" error="t must be greater than or equal to 0." sqref="C12" xr:uid="{5942A2C5-FFF2-45E8-82C3-9819A87AD779}">
      <formula1>0</formula1>
    </dataValidation>
    <dataValidation type="decimal" operator="greaterThanOrEqual" allowBlank="1" showInputMessage="1" showErrorMessage="1" errorTitle="Warning" error="t must be greater than or equal to 0." sqref="C9" xr:uid="{1667BD72-3342-4A92-83EE-974FF002C583}">
      <formula1>0</formula1>
    </dataValidation>
  </dataValidations>
  <printOptions headings="1" gridLines="1"/>
  <pageMargins left="0.75" right="0.75" top="1" bottom="1" header="0.5" footer="0.5"/>
  <pageSetup paperSize="0" scale="82" orientation="landscape" horizontalDpi="4294967292" verticalDpi="4294967292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D905B-FE25-43B0-86F4-1B62F85635A7}">
  <sheetPr>
    <pageSetUpPr fitToPage="1"/>
  </sheetPr>
  <dimension ref="A1:L21"/>
  <sheetViews>
    <sheetView workbookViewId="0">
      <selection activeCell="D19" sqref="D19"/>
    </sheetView>
  </sheetViews>
  <sheetFormatPr defaultColWidth="10.7109375" defaultRowHeight="12.75"/>
  <cols>
    <col min="1" max="1" width="2.7109375" style="6" customWidth="1"/>
    <col min="2" max="2" width="4.28515625" style="4" bestFit="1" customWidth="1"/>
    <col min="3" max="3" width="9.42578125" style="5" customWidth="1"/>
    <col min="4" max="4" width="19.85546875" style="6" bestFit="1" customWidth="1"/>
    <col min="5" max="5" width="3.7109375" style="6" customWidth="1"/>
    <col min="6" max="6" width="4.85546875" style="4" bestFit="1" customWidth="1"/>
    <col min="7" max="7" width="12" style="6" bestFit="1" customWidth="1"/>
    <col min="8" max="9" width="10.7109375" style="6" customWidth="1"/>
    <col min="10" max="10" width="4" style="6" bestFit="1" customWidth="1"/>
    <col min="11" max="16384" width="10.7109375" style="6"/>
  </cols>
  <sheetData>
    <row r="1" spans="1:12" ht="18">
      <c r="A1" s="3" t="s">
        <v>46</v>
      </c>
    </row>
    <row r="2" spans="1:12" ht="13.5" thickBot="1"/>
    <row r="3" spans="1:12" ht="13.5" thickBot="1">
      <c r="C3" s="7" t="s">
        <v>0</v>
      </c>
      <c r="G3" s="7" t="s">
        <v>1</v>
      </c>
      <c r="I3" s="28" t="s">
        <v>13</v>
      </c>
      <c r="J3" s="29" t="s">
        <v>47</v>
      </c>
      <c r="L3" s="6" t="s">
        <v>66</v>
      </c>
    </row>
    <row r="4" spans="1:12">
      <c r="B4" s="1" t="s">
        <v>2</v>
      </c>
      <c r="C4" s="27">
        <v>3</v>
      </c>
      <c r="D4" s="6" t="s">
        <v>10</v>
      </c>
      <c r="F4" s="11" t="s">
        <v>3</v>
      </c>
      <c r="G4" s="30">
        <f>Lq+Rho</f>
        <v>1.1625000000000003</v>
      </c>
      <c r="I4" s="31" t="s">
        <v>15</v>
      </c>
      <c r="J4" s="32" t="s">
        <v>48</v>
      </c>
      <c r="L4" s="6" t="s">
        <v>67</v>
      </c>
    </row>
    <row r="5" spans="1:12" ht="15.75">
      <c r="B5" s="1" t="s">
        <v>49</v>
      </c>
      <c r="C5" s="27">
        <v>0.2</v>
      </c>
      <c r="D5" s="6" t="s">
        <v>50</v>
      </c>
      <c r="F5" s="11" t="s">
        <v>34</v>
      </c>
      <c r="G5" s="33">
        <f>((Lambda^2)*(Sigma^2)+(Rho^2))/(2*(1-Rho))</f>
        <v>0.56250000000000022</v>
      </c>
      <c r="I5" s="34" t="s">
        <v>16</v>
      </c>
      <c r="J5" s="35" t="s">
        <v>17</v>
      </c>
      <c r="L5" s="6" t="s">
        <v>68</v>
      </c>
    </row>
    <row r="6" spans="1:12">
      <c r="B6" s="1" t="s">
        <v>51</v>
      </c>
      <c r="C6" s="27">
        <v>0.1</v>
      </c>
      <c r="D6" s="6" t="s">
        <v>52</v>
      </c>
      <c r="F6" s="11"/>
      <c r="G6" s="33"/>
      <c r="I6" s="34" t="s">
        <v>18</v>
      </c>
      <c r="J6" s="35" t="s">
        <v>53</v>
      </c>
      <c r="L6" s="6" t="s">
        <v>69</v>
      </c>
    </row>
    <row r="7" spans="1:12">
      <c r="B7" s="4" t="s">
        <v>5</v>
      </c>
      <c r="C7" s="5">
        <v>1</v>
      </c>
      <c r="D7" s="6" t="s">
        <v>6</v>
      </c>
      <c r="F7" s="11" t="s">
        <v>7</v>
      </c>
      <c r="G7" s="33">
        <f>Wq+OneOverMu</f>
        <v>0.38750000000000007</v>
      </c>
      <c r="I7" s="34" t="s">
        <v>54</v>
      </c>
      <c r="J7" s="35" t="s">
        <v>20</v>
      </c>
    </row>
    <row r="8" spans="1:12" ht="15.75">
      <c r="F8" s="11" t="s">
        <v>35</v>
      </c>
      <c r="G8" s="33">
        <f>Lq/Lambda</f>
        <v>0.18750000000000008</v>
      </c>
      <c r="I8" s="34" t="s">
        <v>24</v>
      </c>
      <c r="J8" s="35" t="s">
        <v>55</v>
      </c>
    </row>
    <row r="9" spans="1:12">
      <c r="B9" s="11"/>
      <c r="C9" s="17"/>
      <c r="F9" s="11"/>
      <c r="G9" s="36"/>
      <c r="I9" s="34" t="s">
        <v>25</v>
      </c>
      <c r="J9" s="35" t="s">
        <v>56</v>
      </c>
    </row>
    <row r="10" spans="1:12">
      <c r="B10" s="6"/>
      <c r="C10" s="16" t="str">
        <f>IF(Rho&gt;=1,"Model invalid because:","")</f>
        <v/>
      </c>
      <c r="F10" s="2" t="s">
        <v>9</v>
      </c>
      <c r="G10" s="36">
        <f>Lambda*OneOverMu</f>
        <v>0.60000000000000009</v>
      </c>
      <c r="I10" s="34" t="s">
        <v>57</v>
      </c>
      <c r="J10" s="35" t="s">
        <v>26</v>
      </c>
    </row>
    <row r="11" spans="1:12" ht="15.75">
      <c r="B11" s="6"/>
      <c r="C11" s="37" t="str">
        <f>IF(Rho&gt;=1,"   r   &gt;=   1","")</f>
        <v/>
      </c>
      <c r="F11" s="6"/>
      <c r="G11" s="38"/>
      <c r="I11" s="34" t="s">
        <v>31</v>
      </c>
      <c r="J11" s="35" t="s">
        <v>58</v>
      </c>
    </row>
    <row r="12" spans="1:12" ht="16.5" thickBot="1">
      <c r="B12" s="11"/>
      <c r="C12" s="17"/>
      <c r="F12" s="4" t="s">
        <v>59</v>
      </c>
      <c r="G12" s="39">
        <f>1-Rho</f>
        <v>0.39999999999999991</v>
      </c>
      <c r="I12" s="40" t="s">
        <v>32</v>
      </c>
      <c r="J12" s="41" t="s">
        <v>60</v>
      </c>
    </row>
    <row r="13" spans="1:12">
      <c r="F13" s="11"/>
      <c r="G13" s="17"/>
    </row>
    <row r="15" spans="1:12">
      <c r="B15" s="6"/>
      <c r="C15" s="6"/>
    </row>
    <row r="16" spans="1:12">
      <c r="B16" s="6"/>
      <c r="C16" s="6"/>
    </row>
    <row r="17" spans="2:3">
      <c r="B17" s="6"/>
      <c r="C17" s="6"/>
    </row>
    <row r="18" spans="2:3">
      <c r="B18" s="6"/>
      <c r="C18" s="6"/>
    </row>
    <row r="19" spans="2:3">
      <c r="B19" s="6"/>
    </row>
    <row r="20" spans="2:3">
      <c r="B20" s="6"/>
    </row>
    <row r="21" spans="2:3">
      <c r="B21" s="6"/>
    </row>
  </sheetData>
  <dataConsolidate/>
  <dataValidations count="4">
    <dataValidation type="decimal" operator="greaterThanOrEqual" allowBlank="1" showInputMessage="1" showErrorMessage="1" error="The standard deviation of the service rate must be greater-than-or-equal-to zero." sqref="C6" xr:uid="{C1713925-8EEA-4882-9FF7-15BCD8EB94EB}">
      <formula1>0</formula1>
    </dataValidation>
    <dataValidation type="decimal" operator="greaterThan" allowBlank="1" showInputMessage="1" showErrorMessage="1" error="The mean arrival rate must be greater than zero." sqref="C4:C5" xr:uid="{2CD7FFE5-7F8E-4914-A0F5-73EF3A5BE306}">
      <formula1>0</formula1>
    </dataValidation>
    <dataValidation type="whole" allowBlank="1" showInputMessage="1" showErrorMessage="1" error="The number of servers must be an integer between 1 and 25 (inclusive)." sqref="C7" xr:uid="{77EC1168-BF8C-4A99-AA06-888B6A251160}">
      <formula1>1</formula1>
      <formula2>25</formula2>
    </dataValidation>
    <dataValidation type="decimal" operator="greaterThanOrEqual" allowBlank="1" showInputMessage="1" showErrorMessage="1" error="t must be greater than or equal to 0." sqref="C13" xr:uid="{1E5967CE-154B-418D-A81A-FC5287260A4F}">
      <formula1>0</formula1>
    </dataValidation>
  </dataValidations>
  <printOptions headings="1" gridLines="1"/>
  <pageMargins left="0.75" right="0.75" top="1" bottom="1" header="0.5" footer="0.5"/>
  <pageSetup paperSize="0" orientation="landscape" horizontalDpi="4294967292" verticalDpi="429496729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11C60-FD07-42FF-A74E-5F821BA8561A}">
  <sheetPr>
    <pageSetUpPr fitToPage="1"/>
  </sheetPr>
  <dimension ref="A1:M38"/>
  <sheetViews>
    <sheetView workbookViewId="0">
      <selection activeCell="M12" sqref="M12"/>
    </sheetView>
  </sheetViews>
  <sheetFormatPr defaultColWidth="10.7109375" defaultRowHeight="12.75"/>
  <cols>
    <col min="1" max="1" width="2.7109375" style="6" customWidth="1"/>
    <col min="2" max="2" width="12.85546875" style="4" customWidth="1"/>
    <col min="3" max="3" width="9.42578125" style="5" customWidth="1"/>
    <col min="4" max="4" width="17.5703125" style="6" customWidth="1"/>
    <col min="5" max="5" width="27" style="6" customWidth="1"/>
    <col min="6" max="6" width="5.5703125" style="6" customWidth="1"/>
    <col min="7" max="7" width="4.85546875" style="4" bestFit="1" customWidth="1"/>
    <col min="8" max="8" width="12" style="6" bestFit="1" customWidth="1"/>
    <col min="9" max="9" width="10.7109375" style="6" customWidth="1"/>
    <col min="10" max="10" width="12.7109375" style="6" bestFit="1" customWidth="1"/>
    <col min="11" max="11" width="8.7109375" style="6" customWidth="1"/>
    <col min="12" max="16384" width="10.7109375" style="6"/>
  </cols>
  <sheetData>
    <row r="1" spans="1:13" ht="18">
      <c r="A1" s="3" t="s">
        <v>61</v>
      </c>
    </row>
    <row r="2" spans="1:13" ht="13.5" thickBot="1"/>
    <row r="3" spans="1:13" ht="13.5" thickBot="1">
      <c r="C3" s="7" t="s">
        <v>0</v>
      </c>
      <c r="H3" s="8" t="s">
        <v>1</v>
      </c>
      <c r="J3" s="9" t="s">
        <v>13</v>
      </c>
      <c r="K3" s="10" t="s">
        <v>14</v>
      </c>
    </row>
    <row r="4" spans="1:13">
      <c r="A4" s="21">
        <f t="shared" ref="A4:A29" si="0">IF(G13&lt;=s-1,((Lambda/Mu)^G13)/FACT(G13),0)</f>
        <v>1</v>
      </c>
      <c r="B4" s="1" t="s">
        <v>2</v>
      </c>
      <c r="C4" s="27">
        <v>3</v>
      </c>
      <c r="D4" s="6" t="s">
        <v>10</v>
      </c>
      <c r="G4" s="11" t="s">
        <v>3</v>
      </c>
      <c r="H4" s="23">
        <f>IF(Rho&lt;1,Lq+Lambda/Mu,NA())</f>
        <v>3</v>
      </c>
      <c r="J4" s="12" t="s">
        <v>15</v>
      </c>
      <c r="K4" s="13" t="s">
        <v>38</v>
      </c>
      <c r="M4" s="6" t="s">
        <v>66</v>
      </c>
    </row>
    <row r="5" spans="1:13" ht="15.75">
      <c r="A5" s="21">
        <f t="shared" si="0"/>
        <v>0</v>
      </c>
      <c r="B5" s="1" t="s">
        <v>4</v>
      </c>
      <c r="C5" s="27">
        <v>4</v>
      </c>
      <c r="D5" s="6" t="s">
        <v>11</v>
      </c>
      <c r="G5" s="11" t="s">
        <v>34</v>
      </c>
      <c r="H5" s="24">
        <f>IF(Rho&lt;1,Lambda*Mu*((Lambda/Mu)^s)/(FACT(s-1)*(s*Mu-Lambda)^2/P0),NA())</f>
        <v>2.25</v>
      </c>
      <c r="J5" s="14" t="s">
        <v>16</v>
      </c>
      <c r="K5" s="15" t="s">
        <v>17</v>
      </c>
      <c r="M5" s="6" t="s">
        <v>67</v>
      </c>
    </row>
    <row r="6" spans="1:13">
      <c r="A6" s="21">
        <f t="shared" si="0"/>
        <v>0</v>
      </c>
      <c r="B6" s="4" t="s">
        <v>5</v>
      </c>
      <c r="C6" s="27">
        <v>1</v>
      </c>
      <c r="D6" s="6" t="s">
        <v>6</v>
      </c>
      <c r="G6" s="11"/>
      <c r="H6" s="24"/>
      <c r="I6" s="20"/>
      <c r="J6" s="14" t="s">
        <v>18</v>
      </c>
      <c r="K6" s="15" t="s">
        <v>39</v>
      </c>
      <c r="M6" s="6" t="s">
        <v>68</v>
      </c>
    </row>
    <row r="7" spans="1:13" ht="13.5" thickBot="1">
      <c r="A7" s="21">
        <f t="shared" si="0"/>
        <v>0</v>
      </c>
      <c r="C7" s="5">
        <v>1</v>
      </c>
      <c r="G7" s="11" t="s">
        <v>7</v>
      </c>
      <c r="H7" s="24">
        <f>IF(Rho&lt;1,L/Lambda,NA())</f>
        <v>1</v>
      </c>
      <c r="I7" s="5"/>
      <c r="J7" s="14" t="s">
        <v>19</v>
      </c>
      <c r="K7" s="15" t="s">
        <v>20</v>
      </c>
      <c r="M7" s="6" t="s">
        <v>69</v>
      </c>
    </row>
    <row r="8" spans="1:13" ht="16.5" thickBot="1">
      <c r="A8" s="21">
        <f t="shared" si="0"/>
        <v>0</v>
      </c>
      <c r="B8" s="11" t="s">
        <v>33</v>
      </c>
      <c r="C8" s="22">
        <f>IF((s-1-Lambda/Mu)=0,EXP(-Mu*C9)*(1+P0*((Lambda/Mu)^s)/(FACT(s)*(1-Rho))*Mu*C9),EXP(-Mu*C9)*(1+P0*((Lambda/Mu)^s)/(FACT(s)*(1-Rho))*(1-EXP(-Mu*C9*(s-1-Lambda/Mu)))/(s-1-Lambda/Mu)))</f>
        <v>0.36787944117144228</v>
      </c>
      <c r="G8" s="11" t="s">
        <v>35</v>
      </c>
      <c r="H8" s="24">
        <f>IF(Rho&lt;1,Lq/Lambda,NA())</f>
        <v>0.75</v>
      </c>
      <c r="I8" s="5"/>
      <c r="J8" s="14" t="s">
        <v>12</v>
      </c>
      <c r="K8" s="15" t="s">
        <v>23</v>
      </c>
    </row>
    <row r="9" spans="1:13">
      <c r="A9" s="21">
        <f t="shared" si="0"/>
        <v>0</v>
      </c>
      <c r="B9" s="4" t="s">
        <v>8</v>
      </c>
      <c r="C9" s="27">
        <v>1</v>
      </c>
      <c r="E9" s="16" t="str">
        <f>IF(Rho&gt;=1,"Model invalid because:","")</f>
        <v/>
      </c>
      <c r="G9" s="11"/>
      <c r="H9" s="24"/>
      <c r="J9" s="14" t="s">
        <v>21</v>
      </c>
      <c r="K9" s="15" t="s">
        <v>40</v>
      </c>
    </row>
    <row r="10" spans="1:13" ht="13.5" thickBot="1">
      <c r="A10" s="21">
        <f t="shared" si="0"/>
        <v>0</v>
      </c>
      <c r="E10" s="26" t="str">
        <f>IF(Rho&gt;=1,"   r   &gt;=   1","")</f>
        <v/>
      </c>
      <c r="G10" s="2" t="s">
        <v>9</v>
      </c>
      <c r="H10" s="25">
        <f>Lambda/(s*Mu)</f>
        <v>0.75</v>
      </c>
      <c r="J10" s="14" t="s">
        <v>22</v>
      </c>
      <c r="K10" s="15" t="s">
        <v>41</v>
      </c>
    </row>
    <row r="11" spans="1:13" ht="16.5" thickBot="1">
      <c r="A11" s="21">
        <f t="shared" si="0"/>
        <v>0</v>
      </c>
      <c r="B11" s="11" t="s">
        <v>36</v>
      </c>
      <c r="C11" s="22">
        <f ca="1">(1-SUM(OFFSET(P0,0,0,s,1)))*EXP(-s*Mu*(1-Rho)*C12)</f>
        <v>0.27590958087858175</v>
      </c>
      <c r="J11" s="14" t="s">
        <v>24</v>
      </c>
      <c r="K11" s="15" t="s">
        <v>42</v>
      </c>
    </row>
    <row r="12" spans="1:13" ht="16.5" thickBot="1">
      <c r="A12" s="21">
        <f t="shared" si="0"/>
        <v>0</v>
      </c>
      <c r="B12" s="4" t="s">
        <v>8</v>
      </c>
      <c r="C12" s="27">
        <v>1</v>
      </c>
      <c r="G12" s="11" t="s">
        <v>12</v>
      </c>
      <c r="H12" s="17" t="s">
        <v>37</v>
      </c>
      <c r="J12" s="14" t="s">
        <v>25</v>
      </c>
      <c r="K12" s="15" t="s">
        <v>26</v>
      </c>
    </row>
    <row r="13" spans="1:13">
      <c r="A13" s="21">
        <f t="shared" si="0"/>
        <v>0</v>
      </c>
      <c r="G13" s="11">
        <v>0</v>
      </c>
      <c r="H13" s="23">
        <f>IF(Rho&lt;1,1/(SUM(A4:A29)+((Lambda/Mu)^s)/(FACT(s)*(1-Lambda/(s*Mu)))),NA())</f>
        <v>0.25</v>
      </c>
      <c r="J13" s="14" t="s">
        <v>27</v>
      </c>
      <c r="K13" s="15" t="s">
        <v>28</v>
      </c>
    </row>
    <row r="14" spans="1:13">
      <c r="A14" s="21">
        <f t="shared" si="0"/>
        <v>0</v>
      </c>
      <c r="B14" s="6"/>
      <c r="C14" s="6"/>
      <c r="G14" s="11">
        <v>1</v>
      </c>
      <c r="H14" s="24">
        <f t="shared" ref="H14:H38" si="1">IF(Rho&lt;1,IF(s=1,(1-Rho)*Rho^n,IF(s&gt;=n,((Lambda/Mu)^n)*P0/FACT(n),((Lambda/Mu)^n)*P0/(FACT(s)*(s^(n-s))))),NA())</f>
        <v>0.1875</v>
      </c>
      <c r="J14" s="14" t="s">
        <v>29</v>
      </c>
      <c r="K14" s="15" t="s">
        <v>30</v>
      </c>
    </row>
    <row r="15" spans="1:13">
      <c r="A15" s="21">
        <f t="shared" si="0"/>
        <v>0</v>
      </c>
      <c r="B15" s="6"/>
      <c r="C15" s="6"/>
      <c r="G15" s="11">
        <v>2</v>
      </c>
      <c r="H15" s="24">
        <f t="shared" si="1"/>
        <v>0.140625</v>
      </c>
      <c r="J15" s="14" t="s">
        <v>31</v>
      </c>
      <c r="K15" s="15" t="s">
        <v>43</v>
      </c>
    </row>
    <row r="16" spans="1:13" ht="13.5" thickBot="1">
      <c r="A16" s="21">
        <f t="shared" si="0"/>
        <v>0</v>
      </c>
      <c r="B16" s="6"/>
      <c r="C16" s="6"/>
      <c r="G16" s="11">
        <v>3</v>
      </c>
      <c r="H16" s="24">
        <f t="shared" si="1"/>
        <v>0.10546875</v>
      </c>
      <c r="J16" s="18" t="s">
        <v>32</v>
      </c>
      <c r="K16" s="19" t="s">
        <v>44</v>
      </c>
    </row>
    <row r="17" spans="1:8">
      <c r="A17" s="21">
        <f t="shared" si="0"/>
        <v>0</v>
      </c>
      <c r="B17" s="6"/>
      <c r="C17" s="6"/>
      <c r="G17" s="11">
        <v>4</v>
      </c>
      <c r="H17" s="24">
        <f t="shared" si="1"/>
        <v>7.91015625E-2</v>
      </c>
    </row>
    <row r="18" spans="1:8">
      <c r="A18" s="21">
        <f t="shared" si="0"/>
        <v>0</v>
      </c>
      <c r="B18" s="6"/>
      <c r="G18" s="11">
        <v>5</v>
      </c>
      <c r="H18" s="24">
        <f t="shared" si="1"/>
        <v>5.9326171875E-2</v>
      </c>
    </row>
    <row r="19" spans="1:8">
      <c r="A19" s="21">
        <f t="shared" si="0"/>
        <v>0</v>
      </c>
      <c r="B19" s="6"/>
      <c r="G19" s="11">
        <v>6</v>
      </c>
      <c r="H19" s="24">
        <f t="shared" si="1"/>
        <v>4.449462890625E-2</v>
      </c>
    </row>
    <row r="20" spans="1:8">
      <c r="A20" s="21">
        <f t="shared" si="0"/>
        <v>0</v>
      </c>
      <c r="B20" s="6"/>
      <c r="G20" s="11">
        <v>7</v>
      </c>
      <c r="H20" s="24">
        <f t="shared" si="1"/>
        <v>3.33709716796875E-2</v>
      </c>
    </row>
    <row r="21" spans="1:8">
      <c r="A21" s="21">
        <f t="shared" si="0"/>
        <v>0</v>
      </c>
      <c r="G21" s="11">
        <v>8</v>
      </c>
      <c r="H21" s="24">
        <f t="shared" si="1"/>
        <v>2.5028228759765625E-2</v>
      </c>
    </row>
    <row r="22" spans="1:8">
      <c r="A22" s="21">
        <f t="shared" si="0"/>
        <v>0</v>
      </c>
      <c r="G22" s="11">
        <v>9</v>
      </c>
      <c r="H22" s="24">
        <f t="shared" si="1"/>
        <v>1.8771171569824219E-2</v>
      </c>
    </row>
    <row r="23" spans="1:8">
      <c r="A23" s="21">
        <f t="shared" si="0"/>
        <v>0</v>
      </c>
      <c r="G23" s="11">
        <v>10</v>
      </c>
      <c r="H23" s="24">
        <f t="shared" si="1"/>
        <v>1.4078378677368164E-2</v>
      </c>
    </row>
    <row r="24" spans="1:8">
      <c r="A24" s="21">
        <f t="shared" si="0"/>
        <v>0</v>
      </c>
      <c r="G24" s="11">
        <v>11</v>
      </c>
      <c r="H24" s="24">
        <f t="shared" si="1"/>
        <v>1.0558784008026123E-2</v>
      </c>
    </row>
    <row r="25" spans="1:8">
      <c r="A25" s="21">
        <f t="shared" si="0"/>
        <v>0</v>
      </c>
      <c r="G25" s="11">
        <v>12</v>
      </c>
      <c r="H25" s="24">
        <f t="shared" si="1"/>
        <v>7.9190880060195923E-3</v>
      </c>
    </row>
    <row r="26" spans="1:8">
      <c r="A26" s="21">
        <f t="shared" si="0"/>
        <v>0</v>
      </c>
      <c r="G26" s="11">
        <v>13</v>
      </c>
      <c r="H26" s="24">
        <f t="shared" si="1"/>
        <v>5.9393160045146942E-3</v>
      </c>
    </row>
    <row r="27" spans="1:8">
      <c r="A27" s="21">
        <f t="shared" si="0"/>
        <v>0</v>
      </c>
      <c r="G27" s="11">
        <v>14</v>
      </c>
      <c r="H27" s="24">
        <f t="shared" si="1"/>
        <v>4.4544870033860207E-3</v>
      </c>
    </row>
    <row r="28" spans="1:8">
      <c r="A28" s="21">
        <f t="shared" si="0"/>
        <v>0</v>
      </c>
      <c r="G28" s="11">
        <v>15</v>
      </c>
      <c r="H28" s="24">
        <f t="shared" si="1"/>
        <v>3.3408652525395155E-3</v>
      </c>
    </row>
    <row r="29" spans="1:8">
      <c r="A29" s="21">
        <f t="shared" si="0"/>
        <v>0</v>
      </c>
      <c r="G29" s="11">
        <v>16</v>
      </c>
      <c r="H29" s="24">
        <f t="shared" si="1"/>
        <v>2.5056489394046366E-3</v>
      </c>
    </row>
    <row r="30" spans="1:8">
      <c r="G30" s="11">
        <v>17</v>
      </c>
      <c r="H30" s="24">
        <f t="shared" si="1"/>
        <v>1.8792367045534775E-3</v>
      </c>
    </row>
    <row r="31" spans="1:8">
      <c r="G31" s="11">
        <v>18</v>
      </c>
      <c r="H31" s="24">
        <f t="shared" si="1"/>
        <v>1.4094275284151081E-3</v>
      </c>
    </row>
    <row r="32" spans="1:8">
      <c r="G32" s="11">
        <v>19</v>
      </c>
      <c r="H32" s="24">
        <f t="shared" si="1"/>
        <v>1.0570706463113311E-3</v>
      </c>
    </row>
    <row r="33" spans="7:8">
      <c r="G33" s="11">
        <v>20</v>
      </c>
      <c r="H33" s="24">
        <f t="shared" si="1"/>
        <v>7.9280298473349831E-4</v>
      </c>
    </row>
    <row r="34" spans="7:8">
      <c r="G34" s="11">
        <v>21</v>
      </c>
      <c r="H34" s="24">
        <f t="shared" si="1"/>
        <v>5.9460223855012373E-4</v>
      </c>
    </row>
    <row r="35" spans="7:8">
      <c r="G35" s="11">
        <v>22</v>
      </c>
      <c r="H35" s="24">
        <f t="shared" si="1"/>
        <v>4.459516789125928E-4</v>
      </c>
    </row>
    <row r="36" spans="7:8">
      <c r="G36" s="11">
        <v>23</v>
      </c>
      <c r="H36" s="24">
        <f t="shared" si="1"/>
        <v>3.344637591844446E-4</v>
      </c>
    </row>
    <row r="37" spans="7:8">
      <c r="G37" s="11">
        <v>24</v>
      </c>
      <c r="H37" s="24">
        <f t="shared" si="1"/>
        <v>2.5084781938833345E-4</v>
      </c>
    </row>
    <row r="38" spans="7:8" ht="13.5" thickBot="1">
      <c r="G38" s="11">
        <v>25</v>
      </c>
      <c r="H38" s="25">
        <f t="shared" si="1"/>
        <v>1.8813586454125009E-4</v>
      </c>
    </row>
  </sheetData>
  <dataConsolidate/>
  <dataValidations count="5">
    <dataValidation type="decimal" operator="greaterThan" allowBlank="1" showInputMessage="1" showErrorMessage="1" error="The mean service rate must be greater than zero." sqref="C5" xr:uid="{F58F8305-6A23-4DB4-B70C-EA2706D5D21D}">
      <formula1>0</formula1>
    </dataValidation>
    <dataValidation type="decimal" operator="greaterThan" allowBlank="1" showInputMessage="1" showErrorMessage="1" error="The mean arrival rate must be greater than zero." sqref="C4" xr:uid="{E6EB146E-B63E-4BF7-925E-A89665792B79}">
      <formula1>0</formula1>
    </dataValidation>
    <dataValidation type="whole" allowBlank="1" showInputMessage="1" showErrorMessage="1" error="The number of servers must be an integer between 1 and 25 (inclusive)." sqref="C6" xr:uid="{D7E12720-E1E3-4C82-8D3E-276A486CE9C5}">
      <formula1>1</formula1>
      <formula2>25</formula2>
    </dataValidation>
    <dataValidation type="decimal" operator="greaterThanOrEqual" allowBlank="1" showInputMessage="1" showErrorMessage="1" error="t must be greater than or equal to 0." sqref="C12" xr:uid="{55BEF230-32F1-4C6D-8782-FA875B850BA8}">
      <formula1>0</formula1>
    </dataValidation>
    <dataValidation type="decimal" operator="greaterThanOrEqual" allowBlank="1" showInputMessage="1" showErrorMessage="1" errorTitle="Warning" error="t must be greater than or equal to 0." sqref="C9" xr:uid="{1147BCFF-C043-4954-A218-999F0C65CA59}">
      <formula1>0</formula1>
    </dataValidation>
  </dataValidations>
  <printOptions headings="1" gridLines="1"/>
  <pageMargins left="0.75" right="0.75" top="1" bottom="1" header="0.5" footer="0.5"/>
  <pageSetup paperSize="0" scale="82" orientation="landscape" horizontalDpi="4294967292" verticalDpi="4294967292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1F8DF-C224-40A6-B73E-7E8DE476CF55}">
  <sheetPr>
    <pageSetUpPr fitToPage="1"/>
  </sheetPr>
  <dimension ref="A1:M38"/>
  <sheetViews>
    <sheetView workbookViewId="0">
      <selection activeCell="E35" sqref="E35"/>
    </sheetView>
  </sheetViews>
  <sheetFormatPr defaultColWidth="10.7109375" defaultRowHeight="12.75"/>
  <cols>
    <col min="1" max="1" width="2.7109375" style="6" customWidth="1"/>
    <col min="2" max="2" width="12.85546875" style="4" customWidth="1"/>
    <col min="3" max="3" width="9.42578125" style="5" customWidth="1"/>
    <col min="4" max="4" width="17.5703125" style="6" customWidth="1"/>
    <col min="5" max="5" width="27" style="6" customWidth="1"/>
    <col min="6" max="6" width="5.5703125" style="6" customWidth="1"/>
    <col min="7" max="7" width="4.85546875" style="4" bestFit="1" customWidth="1"/>
    <col min="8" max="8" width="12" style="6" bestFit="1" customWidth="1"/>
    <col min="9" max="9" width="10.7109375" style="6" customWidth="1"/>
    <col min="10" max="10" width="12.7109375" style="6" bestFit="1" customWidth="1"/>
    <col min="11" max="11" width="8.7109375" style="6" customWidth="1"/>
    <col min="12" max="16384" width="10.7109375" style="6"/>
  </cols>
  <sheetData>
    <row r="1" spans="1:13" ht="18">
      <c r="A1" s="3" t="s">
        <v>61</v>
      </c>
    </row>
    <row r="2" spans="1:13" ht="13.5" thickBot="1"/>
    <row r="3" spans="1:13" ht="13.5" thickBot="1">
      <c r="C3" s="7" t="s">
        <v>0</v>
      </c>
      <c r="H3" s="8" t="s">
        <v>1</v>
      </c>
      <c r="J3" s="9" t="s">
        <v>13</v>
      </c>
      <c r="K3" s="10" t="s">
        <v>14</v>
      </c>
    </row>
    <row r="4" spans="1:13">
      <c r="A4" s="21">
        <f t="shared" ref="A4:A29" si="0">IF(G13&lt;=s-1,((Lambda/Mu)^G13)/FACT(G13),0)</f>
        <v>1</v>
      </c>
      <c r="B4" s="1" t="s">
        <v>2</v>
      </c>
      <c r="C4" s="27">
        <v>6</v>
      </c>
      <c r="D4" s="6" t="s">
        <v>10</v>
      </c>
      <c r="G4" s="11" t="s">
        <v>3</v>
      </c>
      <c r="H4" s="23">
        <f>IF(Rho&lt;1,Lq+Lambda/Mu,NA())</f>
        <v>3.4285714285714288</v>
      </c>
      <c r="J4" s="12" t="s">
        <v>15</v>
      </c>
      <c r="K4" s="13" t="s">
        <v>38</v>
      </c>
      <c r="M4" s="6" t="s">
        <v>66</v>
      </c>
    </row>
    <row r="5" spans="1:13" ht="15.75">
      <c r="A5" s="21">
        <f t="shared" si="0"/>
        <v>1.5</v>
      </c>
      <c r="B5" s="1" t="s">
        <v>4</v>
      </c>
      <c r="C5" s="27">
        <v>4</v>
      </c>
      <c r="D5" s="6" t="s">
        <v>11</v>
      </c>
      <c r="G5" s="11" t="s">
        <v>34</v>
      </c>
      <c r="H5" s="24">
        <f>IF(Rho&lt;1,Lambda*Mu*((Lambda/Mu)^s)/(FACT(s-1)*(s*Mu-Lambda)^2/P0),NA())</f>
        <v>1.9285714285714286</v>
      </c>
      <c r="J5" s="14" t="s">
        <v>16</v>
      </c>
      <c r="K5" s="15" t="s">
        <v>17</v>
      </c>
      <c r="M5" s="6" t="s">
        <v>67</v>
      </c>
    </row>
    <row r="6" spans="1:13">
      <c r="A6" s="21">
        <f t="shared" si="0"/>
        <v>0</v>
      </c>
      <c r="B6" s="4" t="s">
        <v>5</v>
      </c>
      <c r="C6" s="27">
        <v>2</v>
      </c>
      <c r="D6" s="6" t="s">
        <v>6</v>
      </c>
      <c r="G6" s="11"/>
      <c r="H6" s="24"/>
      <c r="I6" s="20"/>
      <c r="J6" s="14" t="s">
        <v>18</v>
      </c>
      <c r="K6" s="15" t="s">
        <v>39</v>
      </c>
      <c r="M6" s="6" t="s">
        <v>68</v>
      </c>
    </row>
    <row r="7" spans="1:13" ht="13.5" thickBot="1">
      <c r="A7" s="21">
        <f t="shared" si="0"/>
        <v>0</v>
      </c>
      <c r="C7" s="5">
        <v>1</v>
      </c>
      <c r="G7" s="11" t="s">
        <v>7</v>
      </c>
      <c r="H7" s="24">
        <f>IF(Rho&lt;1,L/Lambda,NA())</f>
        <v>0.57142857142857151</v>
      </c>
      <c r="I7" s="5"/>
      <c r="J7" s="14" t="s">
        <v>19</v>
      </c>
      <c r="K7" s="15" t="s">
        <v>20</v>
      </c>
      <c r="M7" s="6" t="s">
        <v>69</v>
      </c>
    </row>
    <row r="8" spans="1:13" ht="16.5" thickBot="1">
      <c r="A8" s="21">
        <f t="shared" si="0"/>
        <v>0</v>
      </c>
      <c r="B8" s="11" t="s">
        <v>33</v>
      </c>
      <c r="C8" s="22">
        <f>IF((s-1-Lambda/Mu)=0,EXP(-Mu*C9)*(1+P0*((Lambda/Mu)^s)/(FACT(s)*(1-Rho))*Mu*C9),EXP(-Mu*C9)*(1+P0*((Lambda/Mu)^s)/(FACT(s)*(1-Rho))*(1-EXP(-Mu*C9*(s-1-Lambda/Mu)))/(s-1-Lambda/Mu)))</f>
        <v>0.16876946733600653</v>
      </c>
      <c r="G8" s="11" t="s">
        <v>35</v>
      </c>
      <c r="H8" s="24">
        <f>IF(Rho&lt;1,Lq/Lambda,NA())</f>
        <v>0.32142857142857145</v>
      </c>
      <c r="I8" s="5"/>
      <c r="J8" s="14" t="s">
        <v>12</v>
      </c>
      <c r="K8" s="15" t="s">
        <v>23</v>
      </c>
    </row>
    <row r="9" spans="1:13">
      <c r="A9" s="21">
        <f t="shared" si="0"/>
        <v>0</v>
      </c>
      <c r="B9" s="4" t="s">
        <v>8</v>
      </c>
      <c r="C9" s="27">
        <v>1</v>
      </c>
      <c r="E9" s="16" t="str">
        <f>IF(Rho&gt;=1,"Model invalid because:","")</f>
        <v/>
      </c>
      <c r="G9" s="11"/>
      <c r="H9" s="24"/>
      <c r="J9" s="14" t="s">
        <v>21</v>
      </c>
      <c r="K9" s="15" t="s">
        <v>40</v>
      </c>
    </row>
    <row r="10" spans="1:13" ht="13.5" thickBot="1">
      <c r="A10" s="21">
        <f t="shared" si="0"/>
        <v>0</v>
      </c>
      <c r="E10" s="26" t="str">
        <f>IF(Rho&gt;=1,"   r   &gt;=   1","")</f>
        <v/>
      </c>
      <c r="G10" s="2" t="s">
        <v>9</v>
      </c>
      <c r="H10" s="25">
        <f>Lambda/(s*Mu)</f>
        <v>0.75</v>
      </c>
      <c r="J10" s="14" t="s">
        <v>22</v>
      </c>
      <c r="K10" s="15" t="s">
        <v>41</v>
      </c>
    </row>
    <row r="11" spans="1:13" ht="16.5" thickBot="1">
      <c r="A11" s="21">
        <f t="shared" si="0"/>
        <v>0</v>
      </c>
      <c r="B11" s="11" t="s">
        <v>36</v>
      </c>
      <c r="C11" s="22">
        <f ca="1">(1-SUM(OFFSET(P0,0,0,s,1)))*EXP(-s*Mu*(1-Rho)*C12)</f>
        <v>8.7001253509251031E-2</v>
      </c>
      <c r="J11" s="14" t="s">
        <v>24</v>
      </c>
      <c r="K11" s="15" t="s">
        <v>42</v>
      </c>
    </row>
    <row r="12" spans="1:13" ht="16.5" thickBot="1">
      <c r="A12" s="21">
        <f t="shared" si="0"/>
        <v>0</v>
      </c>
      <c r="B12" s="4" t="s">
        <v>8</v>
      </c>
      <c r="C12" s="27">
        <v>1</v>
      </c>
      <c r="G12" s="11" t="s">
        <v>12</v>
      </c>
      <c r="H12" s="17" t="s">
        <v>37</v>
      </c>
      <c r="J12" s="14" t="s">
        <v>25</v>
      </c>
      <c r="K12" s="15" t="s">
        <v>26</v>
      </c>
    </row>
    <row r="13" spans="1:13">
      <c r="A13" s="21">
        <f t="shared" si="0"/>
        <v>0</v>
      </c>
      <c r="G13" s="11">
        <v>0</v>
      </c>
      <c r="H13" s="23">
        <f>IF(Rho&lt;1,1/(SUM(A4:A29)+((Lambda/Mu)^s)/(FACT(s)*(1-Lambda/(s*Mu)))),NA())</f>
        <v>0.14285714285714285</v>
      </c>
      <c r="J13" s="14" t="s">
        <v>27</v>
      </c>
      <c r="K13" s="15" t="s">
        <v>28</v>
      </c>
    </row>
    <row r="14" spans="1:13">
      <c r="A14" s="21">
        <f t="shared" si="0"/>
        <v>0</v>
      </c>
      <c r="B14" s="6"/>
      <c r="C14" s="6"/>
      <c r="G14" s="11">
        <v>1</v>
      </c>
      <c r="H14" s="24">
        <f t="shared" ref="H14:H38" si="1">IF(Rho&lt;1,IF(s=1,(1-Rho)*Rho^n,IF(s&gt;=n,((Lambda/Mu)^n)*P0/FACT(n),((Lambda/Mu)^n)*P0/(FACT(s)*(s^(n-s))))),NA())</f>
        <v>0.21428571428571427</v>
      </c>
      <c r="J14" s="14" t="s">
        <v>29</v>
      </c>
      <c r="K14" s="15" t="s">
        <v>30</v>
      </c>
    </row>
    <row r="15" spans="1:13">
      <c r="A15" s="21">
        <f t="shared" si="0"/>
        <v>0</v>
      </c>
      <c r="B15" s="6"/>
      <c r="C15" s="6"/>
      <c r="G15" s="11">
        <v>2</v>
      </c>
      <c r="H15" s="24">
        <f t="shared" si="1"/>
        <v>0.1607142857142857</v>
      </c>
      <c r="J15" s="14" t="s">
        <v>31</v>
      </c>
      <c r="K15" s="15" t="s">
        <v>43</v>
      </c>
    </row>
    <row r="16" spans="1:13" ht="13.5" thickBot="1">
      <c r="A16" s="21">
        <f t="shared" si="0"/>
        <v>0</v>
      </c>
      <c r="B16" s="6"/>
      <c r="C16" s="6"/>
      <c r="G16" s="11">
        <v>3</v>
      </c>
      <c r="H16" s="24">
        <f t="shared" si="1"/>
        <v>0.12053571428571427</v>
      </c>
      <c r="J16" s="18" t="s">
        <v>32</v>
      </c>
      <c r="K16" s="19" t="s">
        <v>44</v>
      </c>
    </row>
    <row r="17" spans="1:8">
      <c r="A17" s="21">
        <f t="shared" si="0"/>
        <v>0</v>
      </c>
      <c r="B17" s="6"/>
      <c r="C17" s="6"/>
      <c r="G17" s="11">
        <v>4</v>
      </c>
      <c r="H17" s="24">
        <f t="shared" si="1"/>
        <v>9.0401785714285712E-2</v>
      </c>
    </row>
    <row r="18" spans="1:8">
      <c r="A18" s="21">
        <f t="shared" si="0"/>
        <v>0</v>
      </c>
      <c r="B18" s="6"/>
      <c r="G18" s="11">
        <v>5</v>
      </c>
      <c r="H18" s="24">
        <f t="shared" si="1"/>
        <v>6.7801339285714288E-2</v>
      </c>
    </row>
    <row r="19" spans="1:8">
      <c r="A19" s="21">
        <f t="shared" si="0"/>
        <v>0</v>
      </c>
      <c r="B19" s="6"/>
      <c r="G19" s="11">
        <v>6</v>
      </c>
      <c r="H19" s="24">
        <f t="shared" si="1"/>
        <v>5.0851004464285712E-2</v>
      </c>
    </row>
    <row r="20" spans="1:8">
      <c r="A20" s="21">
        <f t="shared" si="0"/>
        <v>0</v>
      </c>
      <c r="B20" s="6"/>
      <c r="G20" s="11">
        <v>7</v>
      </c>
      <c r="H20" s="24">
        <f t="shared" si="1"/>
        <v>3.8138253348214281E-2</v>
      </c>
    </row>
    <row r="21" spans="1:8">
      <c r="A21" s="21">
        <f t="shared" si="0"/>
        <v>0</v>
      </c>
      <c r="G21" s="11">
        <v>8</v>
      </c>
      <c r="H21" s="24">
        <f t="shared" si="1"/>
        <v>2.8603690011160712E-2</v>
      </c>
    </row>
    <row r="22" spans="1:8">
      <c r="A22" s="21">
        <f t="shared" si="0"/>
        <v>0</v>
      </c>
      <c r="G22" s="11">
        <v>9</v>
      </c>
      <c r="H22" s="24">
        <f t="shared" si="1"/>
        <v>2.1452767508370534E-2</v>
      </c>
    </row>
    <row r="23" spans="1:8">
      <c r="A23" s="21">
        <f t="shared" si="0"/>
        <v>0</v>
      </c>
      <c r="G23" s="11">
        <v>10</v>
      </c>
      <c r="H23" s="24">
        <f t="shared" si="1"/>
        <v>1.60895756312779E-2</v>
      </c>
    </row>
    <row r="24" spans="1:8">
      <c r="A24" s="21">
        <f t="shared" si="0"/>
        <v>0</v>
      </c>
      <c r="G24" s="11">
        <v>11</v>
      </c>
      <c r="H24" s="24">
        <f t="shared" si="1"/>
        <v>1.2067181723458425E-2</v>
      </c>
    </row>
    <row r="25" spans="1:8">
      <c r="A25" s="21">
        <f t="shared" si="0"/>
        <v>0</v>
      </c>
      <c r="G25" s="11">
        <v>12</v>
      </c>
      <c r="H25" s="24">
        <f t="shared" si="1"/>
        <v>9.0503862925938195E-3</v>
      </c>
    </row>
    <row r="26" spans="1:8">
      <c r="A26" s="21">
        <f t="shared" si="0"/>
        <v>0</v>
      </c>
      <c r="G26" s="11">
        <v>13</v>
      </c>
      <c r="H26" s="24">
        <f t="shared" si="1"/>
        <v>6.7877897194453642E-3</v>
      </c>
    </row>
    <row r="27" spans="1:8">
      <c r="A27" s="21">
        <f t="shared" si="0"/>
        <v>0</v>
      </c>
      <c r="G27" s="11">
        <v>14</v>
      </c>
      <c r="H27" s="24">
        <f t="shared" si="1"/>
        <v>5.0908422895840234E-3</v>
      </c>
    </row>
    <row r="28" spans="1:8">
      <c r="A28" s="21">
        <f t="shared" si="0"/>
        <v>0</v>
      </c>
      <c r="G28" s="11">
        <v>15</v>
      </c>
      <c r="H28" s="24">
        <f t="shared" si="1"/>
        <v>3.8181317171880175E-3</v>
      </c>
    </row>
    <row r="29" spans="1:8">
      <c r="A29" s="21">
        <f t="shared" si="0"/>
        <v>0</v>
      </c>
      <c r="G29" s="11">
        <v>16</v>
      </c>
      <c r="H29" s="24">
        <f t="shared" si="1"/>
        <v>2.863598787891013E-3</v>
      </c>
    </row>
    <row r="30" spans="1:8">
      <c r="G30" s="11">
        <v>17</v>
      </c>
      <c r="H30" s="24">
        <f t="shared" si="1"/>
        <v>2.1476990909182598E-3</v>
      </c>
    </row>
    <row r="31" spans="1:8">
      <c r="G31" s="11">
        <v>18</v>
      </c>
      <c r="H31" s="24">
        <f t="shared" si="1"/>
        <v>1.6107743181886949E-3</v>
      </c>
    </row>
    <row r="32" spans="1:8">
      <c r="G32" s="11">
        <v>19</v>
      </c>
      <c r="H32" s="24">
        <f t="shared" si="1"/>
        <v>1.2080807386415213E-3</v>
      </c>
    </row>
    <row r="33" spans="7:8">
      <c r="G33" s="11">
        <v>20</v>
      </c>
      <c r="H33" s="24">
        <f t="shared" si="1"/>
        <v>9.0606055398114089E-4</v>
      </c>
    </row>
    <row r="34" spans="7:8">
      <c r="G34" s="11">
        <v>21</v>
      </c>
      <c r="H34" s="24">
        <f t="shared" si="1"/>
        <v>6.7954541548585561E-4</v>
      </c>
    </row>
    <row r="35" spans="7:8">
      <c r="G35" s="11">
        <v>22</v>
      </c>
      <c r="H35" s="24">
        <f t="shared" si="1"/>
        <v>5.0965906161439174E-4</v>
      </c>
    </row>
    <row r="36" spans="7:8">
      <c r="G36" s="11">
        <v>23</v>
      </c>
      <c r="H36" s="24">
        <f t="shared" si="1"/>
        <v>3.822442962107938E-4</v>
      </c>
    </row>
    <row r="37" spans="7:8">
      <c r="G37" s="11">
        <v>24</v>
      </c>
      <c r="H37" s="24">
        <f t="shared" si="1"/>
        <v>2.8668322215809534E-4</v>
      </c>
    </row>
    <row r="38" spans="7:8" ht="13.5" thickBot="1">
      <c r="G38" s="11">
        <v>25</v>
      </c>
      <c r="H38" s="25">
        <f t="shared" si="1"/>
        <v>2.150124166185715E-4</v>
      </c>
    </row>
  </sheetData>
  <dataConsolidate/>
  <dataValidations count="5">
    <dataValidation type="decimal" operator="greaterThanOrEqual" allowBlank="1" showInputMessage="1" showErrorMessage="1" errorTitle="Warning" error="t must be greater than or equal to 0." sqref="C9" xr:uid="{BA7F08EE-E436-40EB-93AD-9AC7B699D3EA}">
      <formula1>0</formula1>
    </dataValidation>
    <dataValidation type="decimal" operator="greaterThanOrEqual" allowBlank="1" showInputMessage="1" showErrorMessage="1" error="t must be greater than or equal to 0." sqref="C12" xr:uid="{DDEC25D9-1D07-49FA-ADDF-97EAC9F25605}">
      <formula1>0</formula1>
    </dataValidation>
    <dataValidation type="whole" allowBlank="1" showInputMessage="1" showErrorMessage="1" error="The number of servers must be an integer between 1 and 25 (inclusive)." sqref="C6" xr:uid="{93A97EBF-6E64-4A5E-AAE8-4BF32D9446EA}">
      <formula1>1</formula1>
      <formula2>25</formula2>
    </dataValidation>
    <dataValidation type="decimal" operator="greaterThan" allowBlank="1" showInputMessage="1" showErrorMessage="1" error="The mean arrival rate must be greater than zero." sqref="C4" xr:uid="{441E0D79-C731-472C-8AD0-763928075021}">
      <formula1>0</formula1>
    </dataValidation>
    <dataValidation type="decimal" operator="greaterThan" allowBlank="1" showInputMessage="1" showErrorMessage="1" error="The mean service rate must be greater than zero." sqref="C5" xr:uid="{0B6D15A5-835D-4344-AFA5-2179A5DAEF83}">
      <formula1>0</formula1>
    </dataValidation>
  </dataValidations>
  <printOptions headings="1" gridLines="1"/>
  <pageMargins left="0.75" right="0.75" top="1" bottom="1" header="0.5" footer="0.5"/>
  <pageSetup paperSize="0" scale="82" orientation="landscape" horizontalDpi="4294967292" verticalDpi="4294967292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D5BEC-E798-4722-B35F-3150A9D4D3C5}">
  <sheetPr>
    <pageSetUpPr fitToPage="1"/>
  </sheetPr>
  <dimension ref="A1:M38"/>
  <sheetViews>
    <sheetView workbookViewId="0">
      <selection activeCell="D27" sqref="D27"/>
    </sheetView>
  </sheetViews>
  <sheetFormatPr defaultColWidth="10.7109375" defaultRowHeight="12.75"/>
  <cols>
    <col min="1" max="1" width="2.7109375" style="6" customWidth="1"/>
    <col min="2" max="2" width="12.85546875" style="4" customWidth="1"/>
    <col min="3" max="3" width="9.42578125" style="5" customWidth="1"/>
    <col min="4" max="4" width="17.5703125" style="6" customWidth="1"/>
    <col min="5" max="5" width="27" style="6" customWidth="1"/>
    <col min="6" max="6" width="5.5703125" style="6" customWidth="1"/>
    <col min="7" max="7" width="4.85546875" style="4" bestFit="1" customWidth="1"/>
    <col min="8" max="8" width="12" style="6" bestFit="1" customWidth="1"/>
    <col min="9" max="9" width="10.7109375" style="6" customWidth="1"/>
    <col min="10" max="10" width="12.7109375" style="6" bestFit="1" customWidth="1"/>
    <col min="11" max="11" width="8.7109375" style="6" customWidth="1"/>
    <col min="12" max="16384" width="10.7109375" style="6"/>
  </cols>
  <sheetData>
    <row r="1" spans="1:13" ht="18">
      <c r="A1" s="3" t="s">
        <v>61</v>
      </c>
    </row>
    <row r="2" spans="1:13" ht="13.5" thickBot="1"/>
    <row r="3" spans="1:13" ht="13.5" thickBot="1">
      <c r="C3" s="7" t="s">
        <v>0</v>
      </c>
      <c r="H3" s="8" t="s">
        <v>1</v>
      </c>
      <c r="J3" s="9" t="s">
        <v>13</v>
      </c>
      <c r="K3" s="10" t="s">
        <v>14</v>
      </c>
    </row>
    <row r="4" spans="1:13">
      <c r="A4" s="21">
        <f t="shared" ref="A4:A29" si="0">IF(G13&lt;=s-1,((Lambda/Mu)^G13)/FACT(G13),0)</f>
        <v>1</v>
      </c>
      <c r="B4" s="1" t="s">
        <v>2</v>
      </c>
      <c r="C4" s="27">
        <v>9</v>
      </c>
      <c r="D4" s="6" t="s">
        <v>10</v>
      </c>
      <c r="G4" s="11" t="s">
        <v>3</v>
      </c>
      <c r="H4" s="23">
        <f>IF(Rho&lt;1,Lq+Lambda/Mu,NA())</f>
        <v>3.9532710280373831</v>
      </c>
      <c r="J4" s="12" t="s">
        <v>15</v>
      </c>
      <c r="K4" s="13" t="s">
        <v>38</v>
      </c>
      <c r="M4" s="6" t="s">
        <v>66</v>
      </c>
    </row>
    <row r="5" spans="1:13" ht="15.75">
      <c r="A5" s="21">
        <f t="shared" si="0"/>
        <v>2.25</v>
      </c>
      <c r="B5" s="1" t="s">
        <v>4</v>
      </c>
      <c r="C5" s="27">
        <v>4</v>
      </c>
      <c r="D5" s="6" t="s">
        <v>11</v>
      </c>
      <c r="G5" s="11" t="s">
        <v>34</v>
      </c>
      <c r="H5" s="24">
        <f>IF(Rho&lt;1,Lambda*Mu*((Lambda/Mu)^s)/(FACT(s-1)*(s*Mu-Lambda)^2/P0),NA())</f>
        <v>1.7032710280373831</v>
      </c>
      <c r="J5" s="14" t="s">
        <v>16</v>
      </c>
      <c r="K5" s="15" t="s">
        <v>17</v>
      </c>
      <c r="M5" s="6" t="s">
        <v>67</v>
      </c>
    </row>
    <row r="6" spans="1:13">
      <c r="A6" s="21">
        <f t="shared" si="0"/>
        <v>2.53125</v>
      </c>
      <c r="B6" s="4" t="s">
        <v>5</v>
      </c>
      <c r="C6" s="27">
        <v>3</v>
      </c>
      <c r="D6" s="6" t="s">
        <v>6</v>
      </c>
      <c r="G6" s="11"/>
      <c r="H6" s="24"/>
      <c r="I6" s="20"/>
      <c r="J6" s="14" t="s">
        <v>18</v>
      </c>
      <c r="K6" s="15" t="s">
        <v>39</v>
      </c>
      <c r="M6" s="6" t="s">
        <v>68</v>
      </c>
    </row>
    <row r="7" spans="1:13" ht="13.5" thickBot="1">
      <c r="A7" s="21">
        <f t="shared" si="0"/>
        <v>0</v>
      </c>
      <c r="C7" s="5">
        <v>1</v>
      </c>
      <c r="G7" s="11" t="s">
        <v>7</v>
      </c>
      <c r="H7" s="24">
        <f>IF(Rho&lt;1,L/Lambda,NA())</f>
        <v>0.43925233644859812</v>
      </c>
      <c r="I7" s="5"/>
      <c r="J7" s="14" t="s">
        <v>19</v>
      </c>
      <c r="K7" s="15" t="s">
        <v>20</v>
      </c>
      <c r="M7" s="6" t="s">
        <v>69</v>
      </c>
    </row>
    <row r="8" spans="1:13" ht="16.5" thickBot="1">
      <c r="A8" s="21">
        <f t="shared" si="0"/>
        <v>0</v>
      </c>
      <c r="B8" s="11" t="s">
        <v>33</v>
      </c>
      <c r="C8" s="22">
        <f>IF((s-1-Lambda/Mu)=0,EXP(-Mu*C9)*(1+P0*((Lambda/Mu)^s)/(FACT(s)*(1-Rho))*Mu*C9),EXP(-Mu*C9)*(1+P0*((Lambda/Mu)^s)/(FACT(s)*(1-Rho))*(1-EXP(-Mu*C9*(s-1-Lambda/Mu)))/(s-1-Lambda/Mu)))</f>
        <v>8.9788137612365301E-2</v>
      </c>
      <c r="G8" s="11" t="s">
        <v>35</v>
      </c>
      <c r="H8" s="24">
        <f>IF(Rho&lt;1,Lq/Lambda,NA())</f>
        <v>0.18925233644859812</v>
      </c>
      <c r="I8" s="5"/>
      <c r="J8" s="14" t="s">
        <v>12</v>
      </c>
      <c r="K8" s="15" t="s">
        <v>23</v>
      </c>
    </row>
    <row r="9" spans="1:13">
      <c r="A9" s="21">
        <f t="shared" si="0"/>
        <v>0</v>
      </c>
      <c r="B9" s="4" t="s">
        <v>8</v>
      </c>
      <c r="C9" s="27">
        <v>1</v>
      </c>
      <c r="E9" s="16" t="str">
        <f>IF(Rho&gt;=1,"Model invalid because:","")</f>
        <v/>
      </c>
      <c r="G9" s="11"/>
      <c r="H9" s="24"/>
      <c r="J9" s="14" t="s">
        <v>21</v>
      </c>
      <c r="K9" s="15" t="s">
        <v>40</v>
      </c>
    </row>
    <row r="10" spans="1:13" ht="13.5" thickBot="1">
      <c r="A10" s="21">
        <f t="shared" si="0"/>
        <v>0</v>
      </c>
      <c r="E10" s="26" t="str">
        <f>IF(Rho&gt;=1,"   r   &gt;=   1","")</f>
        <v/>
      </c>
      <c r="G10" s="2" t="s">
        <v>9</v>
      </c>
      <c r="H10" s="25">
        <f>Lambda/(s*Mu)</f>
        <v>0.75</v>
      </c>
      <c r="J10" s="14" t="s">
        <v>22</v>
      </c>
      <c r="K10" s="15" t="s">
        <v>41</v>
      </c>
    </row>
    <row r="11" spans="1:13" ht="16.5" thickBot="1">
      <c r="A11" s="21">
        <f t="shared" si="0"/>
        <v>0</v>
      </c>
      <c r="B11" s="11" t="s">
        <v>36</v>
      </c>
      <c r="C11" s="22">
        <f ca="1">(1-SUM(OFFSET(P0,0,0,s,1)))*EXP(-s*Mu*(1-Rho)*C12)</f>
        <v>2.8266957040633034E-2</v>
      </c>
      <c r="J11" s="14" t="s">
        <v>24</v>
      </c>
      <c r="K11" s="15" t="s">
        <v>42</v>
      </c>
    </row>
    <row r="12" spans="1:13" ht="16.5" thickBot="1">
      <c r="A12" s="21">
        <f t="shared" si="0"/>
        <v>0</v>
      </c>
      <c r="B12" s="4" t="s">
        <v>8</v>
      </c>
      <c r="C12" s="27">
        <v>1</v>
      </c>
      <c r="G12" s="11" t="s">
        <v>12</v>
      </c>
      <c r="H12" s="17" t="s">
        <v>37</v>
      </c>
      <c r="J12" s="14" t="s">
        <v>25</v>
      </c>
      <c r="K12" s="15" t="s">
        <v>26</v>
      </c>
    </row>
    <row r="13" spans="1:13">
      <c r="A13" s="21">
        <f t="shared" si="0"/>
        <v>0</v>
      </c>
      <c r="G13" s="11">
        <v>0</v>
      </c>
      <c r="H13" s="23">
        <f>IF(Rho&lt;1,1/(SUM(A4:A29)+((Lambda/Mu)^s)/(FACT(s)*(1-Lambda/(s*Mu)))),NA())</f>
        <v>7.476635514018691E-2</v>
      </c>
      <c r="J13" s="14" t="s">
        <v>27</v>
      </c>
      <c r="K13" s="15" t="s">
        <v>28</v>
      </c>
    </row>
    <row r="14" spans="1:13">
      <c r="A14" s="21">
        <f t="shared" si="0"/>
        <v>0</v>
      </c>
      <c r="B14" s="6"/>
      <c r="C14" s="6"/>
      <c r="G14" s="11">
        <v>1</v>
      </c>
      <c r="H14" s="24">
        <f t="shared" ref="H14:H38" si="1">IF(Rho&lt;1,IF(s=1,(1-Rho)*Rho^n,IF(s&gt;=n,((Lambda/Mu)^n)*P0/FACT(n),((Lambda/Mu)^n)*P0/(FACT(s)*(s^(n-s))))),NA())</f>
        <v>0.16822429906542055</v>
      </c>
      <c r="J14" s="14" t="s">
        <v>29</v>
      </c>
      <c r="K14" s="15" t="s">
        <v>30</v>
      </c>
    </row>
    <row r="15" spans="1:13">
      <c r="A15" s="21">
        <f t="shared" si="0"/>
        <v>0</v>
      </c>
      <c r="B15" s="6"/>
      <c r="C15" s="6"/>
      <c r="G15" s="11">
        <v>2</v>
      </c>
      <c r="H15" s="24">
        <f t="shared" si="1"/>
        <v>0.18925233644859812</v>
      </c>
      <c r="J15" s="14" t="s">
        <v>31</v>
      </c>
      <c r="K15" s="15" t="s">
        <v>43</v>
      </c>
    </row>
    <row r="16" spans="1:13" ht="13.5" thickBot="1">
      <c r="A16" s="21">
        <f t="shared" si="0"/>
        <v>0</v>
      </c>
      <c r="B16" s="6"/>
      <c r="C16" s="6"/>
      <c r="G16" s="11">
        <v>3</v>
      </c>
      <c r="H16" s="24">
        <f t="shared" si="1"/>
        <v>0.14193925233644858</v>
      </c>
      <c r="J16" s="18" t="s">
        <v>32</v>
      </c>
      <c r="K16" s="19" t="s">
        <v>44</v>
      </c>
    </row>
    <row r="17" spans="1:8">
      <c r="A17" s="21">
        <f t="shared" si="0"/>
        <v>0</v>
      </c>
      <c r="B17" s="6"/>
      <c r="C17" s="6"/>
      <c r="G17" s="11">
        <v>4</v>
      </c>
      <c r="H17" s="24">
        <f t="shared" si="1"/>
        <v>0.10645443925233644</v>
      </c>
    </row>
    <row r="18" spans="1:8">
      <c r="A18" s="21">
        <f t="shared" si="0"/>
        <v>0</v>
      </c>
      <c r="B18" s="6"/>
      <c r="G18" s="11">
        <v>5</v>
      </c>
      <c r="H18" s="24">
        <f t="shared" si="1"/>
        <v>7.9840829439252331E-2</v>
      </c>
    </row>
    <row r="19" spans="1:8">
      <c r="A19" s="21">
        <f t="shared" si="0"/>
        <v>0</v>
      </c>
      <c r="B19" s="6"/>
      <c r="G19" s="11">
        <v>6</v>
      </c>
      <c r="H19" s="24">
        <f t="shared" si="1"/>
        <v>5.9880622079439248E-2</v>
      </c>
    </row>
    <row r="20" spans="1:8">
      <c r="A20" s="21">
        <f t="shared" si="0"/>
        <v>0</v>
      </c>
      <c r="B20" s="6"/>
      <c r="G20" s="11">
        <v>7</v>
      </c>
      <c r="H20" s="24">
        <f t="shared" si="1"/>
        <v>4.4910466559579434E-2</v>
      </c>
    </row>
    <row r="21" spans="1:8">
      <c r="A21" s="21">
        <f t="shared" si="0"/>
        <v>0</v>
      </c>
      <c r="G21" s="11">
        <v>8</v>
      </c>
      <c r="H21" s="24">
        <f t="shared" si="1"/>
        <v>3.3682849919684579E-2</v>
      </c>
    </row>
    <row r="22" spans="1:8">
      <c r="A22" s="21">
        <f t="shared" si="0"/>
        <v>0</v>
      </c>
      <c r="G22" s="11">
        <v>9</v>
      </c>
      <c r="H22" s="24">
        <f t="shared" si="1"/>
        <v>2.5262137439763431E-2</v>
      </c>
    </row>
    <row r="23" spans="1:8">
      <c r="A23" s="21">
        <f t="shared" si="0"/>
        <v>0</v>
      </c>
      <c r="G23" s="11">
        <v>10</v>
      </c>
      <c r="H23" s="24">
        <f t="shared" si="1"/>
        <v>1.8946603079822575E-2</v>
      </c>
    </row>
    <row r="24" spans="1:8">
      <c r="A24" s="21">
        <f t="shared" si="0"/>
        <v>0</v>
      </c>
      <c r="G24" s="11">
        <v>11</v>
      </c>
      <c r="H24" s="24">
        <f t="shared" si="1"/>
        <v>1.420995230986693E-2</v>
      </c>
    </row>
    <row r="25" spans="1:8">
      <c r="A25" s="21">
        <f t="shared" si="0"/>
        <v>0</v>
      </c>
      <c r="G25" s="11">
        <v>12</v>
      </c>
      <c r="H25" s="24">
        <f t="shared" si="1"/>
        <v>1.0657464232400198E-2</v>
      </c>
    </row>
    <row r="26" spans="1:8">
      <c r="A26" s="21">
        <f t="shared" si="0"/>
        <v>0</v>
      </c>
      <c r="G26" s="11">
        <v>13</v>
      </c>
      <c r="H26" s="24">
        <f t="shared" si="1"/>
        <v>7.9930981743001495E-3</v>
      </c>
    </row>
    <row r="27" spans="1:8">
      <c r="A27" s="21">
        <f t="shared" si="0"/>
        <v>0</v>
      </c>
      <c r="G27" s="11">
        <v>14</v>
      </c>
      <c r="H27" s="24">
        <f t="shared" si="1"/>
        <v>5.9948236307251108E-3</v>
      </c>
    </row>
    <row r="28" spans="1:8">
      <c r="A28" s="21">
        <f t="shared" si="0"/>
        <v>0</v>
      </c>
      <c r="G28" s="11">
        <v>15</v>
      </c>
      <c r="H28" s="24">
        <f t="shared" si="1"/>
        <v>4.4961177230438331E-3</v>
      </c>
    </row>
    <row r="29" spans="1:8">
      <c r="A29" s="21">
        <f t="shared" si="0"/>
        <v>0</v>
      </c>
      <c r="G29" s="11">
        <v>16</v>
      </c>
      <c r="H29" s="24">
        <f t="shared" si="1"/>
        <v>3.3720882922828755E-3</v>
      </c>
    </row>
    <row r="30" spans="1:8">
      <c r="G30" s="11">
        <v>17</v>
      </c>
      <c r="H30" s="24">
        <f t="shared" si="1"/>
        <v>2.5290662192121562E-3</v>
      </c>
    </row>
    <row r="31" spans="1:8">
      <c r="G31" s="11">
        <v>18</v>
      </c>
      <c r="H31" s="24">
        <f t="shared" si="1"/>
        <v>1.8967996644091176E-3</v>
      </c>
    </row>
    <row r="32" spans="1:8">
      <c r="G32" s="11">
        <v>19</v>
      </c>
      <c r="H32" s="24">
        <f t="shared" si="1"/>
        <v>1.4225997483068378E-3</v>
      </c>
    </row>
    <row r="33" spans="7:8">
      <c r="G33" s="11">
        <v>20</v>
      </c>
      <c r="H33" s="24">
        <f t="shared" si="1"/>
        <v>1.0669498112301284E-3</v>
      </c>
    </row>
    <row r="34" spans="7:8">
      <c r="G34" s="11">
        <v>21</v>
      </c>
      <c r="H34" s="24">
        <f t="shared" si="1"/>
        <v>8.0021235842259641E-4</v>
      </c>
    </row>
    <row r="35" spans="7:8">
      <c r="G35" s="11">
        <v>22</v>
      </c>
      <c r="H35" s="24">
        <f t="shared" si="1"/>
        <v>6.0015926881694728E-4</v>
      </c>
    </row>
    <row r="36" spans="7:8">
      <c r="G36" s="11">
        <v>23</v>
      </c>
      <c r="H36" s="24">
        <f t="shared" si="1"/>
        <v>4.5011945161271046E-4</v>
      </c>
    </row>
    <row r="37" spans="7:8">
      <c r="G37" s="11">
        <v>24</v>
      </c>
      <c r="H37" s="24">
        <f t="shared" si="1"/>
        <v>3.375895887095329E-4</v>
      </c>
    </row>
    <row r="38" spans="7:8" ht="13.5" thickBot="1">
      <c r="G38" s="11">
        <v>25</v>
      </c>
      <c r="H38" s="25">
        <f t="shared" si="1"/>
        <v>2.5319219153214964E-4</v>
      </c>
    </row>
  </sheetData>
  <dataConsolidate/>
  <dataValidations count="5">
    <dataValidation type="decimal" operator="greaterThan" allowBlank="1" showInputMessage="1" showErrorMessage="1" error="The mean service rate must be greater than zero." sqref="C5" xr:uid="{84F9CD14-1BCF-473D-B5BB-D2C2A51740DA}">
      <formula1>0</formula1>
    </dataValidation>
    <dataValidation type="decimal" operator="greaterThan" allowBlank="1" showInputMessage="1" showErrorMessage="1" error="The mean arrival rate must be greater than zero." sqref="C4" xr:uid="{510B49F0-9919-459F-97A0-71B215DD852A}">
      <formula1>0</formula1>
    </dataValidation>
    <dataValidation type="whole" allowBlank="1" showInputMessage="1" showErrorMessage="1" error="The number of servers must be an integer between 1 and 25 (inclusive)." sqref="C6" xr:uid="{3DBAFADC-ACFD-40A0-AE75-EF55AB4C24B7}">
      <formula1>1</formula1>
      <formula2>25</formula2>
    </dataValidation>
    <dataValidation type="decimal" operator="greaterThanOrEqual" allowBlank="1" showInputMessage="1" showErrorMessage="1" error="t must be greater than or equal to 0." sqref="C12" xr:uid="{CEEB4320-AA72-4E24-AB81-E9E9739C6B87}">
      <formula1>0</formula1>
    </dataValidation>
    <dataValidation type="decimal" operator="greaterThanOrEqual" allowBlank="1" showInputMessage="1" showErrorMessage="1" errorTitle="Warning" error="t must be greater than or equal to 0." sqref="C9" xr:uid="{B17F7868-DFC9-415E-976D-ACF18D3E304C}">
      <formula1>0</formula1>
    </dataValidation>
  </dataValidations>
  <printOptions headings="1" gridLines="1"/>
  <pageMargins left="0.75" right="0.75" top="1" bottom="1" header="0.5" footer="0.5"/>
  <pageSetup paperSize="0" scale="82" orientation="landscape" horizontalDpi="4294967292" verticalDpi="4294967292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E5EA7-1DC1-407D-BC79-6610F4356EC5}">
  <sheetPr>
    <pageSetUpPr fitToPage="1"/>
  </sheetPr>
  <dimension ref="A1:H28"/>
  <sheetViews>
    <sheetView workbookViewId="0">
      <selection activeCell="D21" sqref="D21"/>
    </sheetView>
  </sheetViews>
  <sheetFormatPr defaultColWidth="10.7109375" defaultRowHeight="12.75"/>
  <cols>
    <col min="1" max="1" width="2.7109375" style="49" customWidth="1"/>
    <col min="2" max="2" width="12.85546875" style="11" bestFit="1" customWidth="1"/>
    <col min="3" max="3" width="9.7109375" style="17" customWidth="1"/>
    <col min="4" max="4" width="9.7109375" style="49" customWidth="1"/>
    <col min="5" max="5" width="9.7109375" style="11" customWidth="1"/>
    <col min="6" max="7" width="9.7109375" style="49" customWidth="1"/>
    <col min="8" max="16384" width="10.7109375" style="49"/>
  </cols>
  <sheetData>
    <row r="1" spans="1:8" ht="18">
      <c r="A1" s="48" t="s">
        <v>70</v>
      </c>
    </row>
    <row r="3" spans="1:8">
      <c r="C3" s="50" t="s">
        <v>0</v>
      </c>
    </row>
    <row r="4" spans="1:8">
      <c r="A4" s="51">
        <f ca="1">IF(s-1&gt;=0,(Lambda/Mu)^0/FACT(0),0)</f>
        <v>1</v>
      </c>
      <c r="B4" s="11" t="s">
        <v>71</v>
      </c>
      <c r="C4" s="52">
        <v>2</v>
      </c>
      <c r="D4" s="49" t="s">
        <v>72</v>
      </c>
    </row>
    <row r="5" spans="1:8">
      <c r="A5" s="51">
        <f>IF(s-1&gt;=1,(Lambda/Mu)^1/FACT(1),0)</f>
        <v>0</v>
      </c>
      <c r="B5" s="2" t="s">
        <v>4</v>
      </c>
      <c r="C5" s="52">
        <v>4</v>
      </c>
      <c r="D5" s="49" t="s">
        <v>11</v>
      </c>
    </row>
    <row r="6" spans="1:8">
      <c r="A6" s="51">
        <f>IF(s-1&gt;=2,(Lambda/Mu)^2/FACT(2),0)</f>
        <v>0</v>
      </c>
      <c r="B6" s="11" t="s">
        <v>5</v>
      </c>
      <c r="C6" s="52">
        <v>1</v>
      </c>
      <c r="D6" s="49" t="s">
        <v>6</v>
      </c>
    </row>
    <row r="7" spans="1:8">
      <c r="A7" s="51">
        <f>IF(s-1&gt;=3,(Lambda/Mu)^3/FACT(3),0)</f>
        <v>0</v>
      </c>
    </row>
    <row r="8" spans="1:8">
      <c r="A8" s="51">
        <f>IF(s-1&gt;=4,(Lambda/Mu)^4/FACT(4),0)</f>
        <v>0</v>
      </c>
      <c r="D8" s="50"/>
      <c r="E8" s="73" t="s">
        <v>1</v>
      </c>
      <c r="F8" s="73"/>
    </row>
    <row r="9" spans="1:8" ht="21.75" thickBot="1">
      <c r="A9" s="51">
        <f>IF(s-1&gt;=5,(Lambda/Mu)^5/FACT(5),0)</f>
        <v>0</v>
      </c>
      <c r="C9" s="53" t="s">
        <v>73</v>
      </c>
      <c r="D9" s="17" t="s">
        <v>15</v>
      </c>
      <c r="E9" s="17" t="s">
        <v>18</v>
      </c>
      <c r="F9" s="17" t="s">
        <v>31</v>
      </c>
      <c r="G9" s="17" t="s">
        <v>32</v>
      </c>
      <c r="H9" s="54"/>
    </row>
    <row r="10" spans="1:8">
      <c r="A10" s="51">
        <f>IF(s-1&gt;=6,(Lambda/Mu)^6/FACT(6),0)</f>
        <v>0</v>
      </c>
      <c r="B10" s="11" t="s">
        <v>74</v>
      </c>
      <c r="C10" s="52">
        <v>1</v>
      </c>
      <c r="D10" s="55">
        <f ca="1">W*Lambdai</f>
        <v>0.5</v>
      </c>
      <c r="E10" s="56">
        <f ca="1">Wq*Lambdai</f>
        <v>0.25</v>
      </c>
      <c r="F10" s="56">
        <f ca="1">1/((FACT(s)*((Mu*s)-Lambda)/((Lambda/Mu)^s)*SUM(A4:A28)+Mu*s)*(1-Lambdai/(Mu*s)))+1/Mu</f>
        <v>0.5</v>
      </c>
      <c r="G10" s="57">
        <f ca="1">W-1/Mu</f>
        <v>0.25</v>
      </c>
      <c r="H10" s="58"/>
    </row>
    <row r="11" spans="1:8">
      <c r="A11" s="51">
        <f>IF(s-1&gt;=7,(Lambda/Mu)^7/FACT(7),0)</f>
        <v>0</v>
      </c>
      <c r="B11" s="11" t="s">
        <v>75</v>
      </c>
      <c r="C11" s="52">
        <v>2</v>
      </c>
      <c r="D11" s="59">
        <f ca="1">W*Lambdai</f>
        <v>2.5</v>
      </c>
      <c r="E11" s="60">
        <f ca="1">Wq*Lambdai</f>
        <v>2</v>
      </c>
      <c r="F11" s="60">
        <f ca="1">1/((FACT(s)*((Mu*s)-Lambda)/((Lambda/Mu)^s)*SUM(A4:A28)+Mu*s)*(1-C10/(Mu*s))*(1-SUM(C10:C11)/(Mu*s)))+1/Mu</f>
        <v>1.25</v>
      </c>
      <c r="G11" s="61">
        <f ca="1">W-1/Mu</f>
        <v>1</v>
      </c>
      <c r="H11" s="58"/>
    </row>
    <row r="12" spans="1:8">
      <c r="A12" s="51">
        <f>IF(s-1&gt;=8,(Lambda/Mu)^8/FACT(8),0)</f>
        <v>0</v>
      </c>
      <c r="B12" s="11" t="s">
        <v>76</v>
      </c>
      <c r="C12" s="52">
        <v>1</v>
      </c>
      <c r="D12" s="59" t="e">
        <f ca="1">W*Lambdai</f>
        <v>#DIV/0!</v>
      </c>
      <c r="E12" s="60" t="e">
        <f ca="1">Wq*Lambdai</f>
        <v>#DIV/0!</v>
      </c>
      <c r="F12" s="60" t="e">
        <f ca="1">1/((FACT(s)*((Mu*s)-Lambda)/((Lambda/Mu)^s)*SUM(A4:A28)+Mu*s)*(1-SUM(C10:C11)/(Mu*s))*(1-SUM(C10:C12)/(Mu*s)))+1/Mu</f>
        <v>#DIV/0!</v>
      </c>
      <c r="G12" s="61" t="e">
        <f ca="1">W-1/Mu</f>
        <v>#DIV/0!</v>
      </c>
      <c r="H12" s="58"/>
    </row>
    <row r="13" spans="1:8">
      <c r="A13" s="51">
        <f>IF(s-1&gt;=9,(Lambda/Mu)^9/FACT(9),0)</f>
        <v>0</v>
      </c>
      <c r="B13" s="11" t="s">
        <v>77</v>
      </c>
      <c r="C13" s="52">
        <v>1</v>
      </c>
      <c r="D13" s="59" t="e">
        <f ca="1">W*Lambdai</f>
        <v>#DIV/0!</v>
      </c>
      <c r="E13" s="60" t="e">
        <f ca="1">Wq*Lambdai</f>
        <v>#DIV/0!</v>
      </c>
      <c r="F13" s="60" t="e">
        <f ca="1">1/((FACT(s)*((Mu*s)-Lambda)/((Lambda/Mu)^s)*SUM(A4:A28)+Mu*s)*(1-SUM(C10:C12)/(Mu*s))*(1-SUM(C10:C13)/(Mu*s)))+1/Mu</f>
        <v>#DIV/0!</v>
      </c>
      <c r="G13" s="61" t="e">
        <f ca="1">W-1/Mu</f>
        <v>#DIV/0!</v>
      </c>
      <c r="H13" s="58"/>
    </row>
    <row r="14" spans="1:8" ht="13.5" thickBot="1">
      <c r="A14" s="51">
        <f>IF(s-1&gt;=10,(Lambda/Mu)^10/FACT(10),0)</f>
        <v>0</v>
      </c>
      <c r="B14" s="11" t="s">
        <v>78</v>
      </c>
      <c r="C14" s="52">
        <v>1</v>
      </c>
      <c r="D14" s="62">
        <f ca="1">W*Lambdai</f>
        <v>1.75</v>
      </c>
      <c r="E14" s="63">
        <f ca="1">Wq*Lambdai</f>
        <v>1.5</v>
      </c>
      <c r="F14" s="63">
        <f ca="1">1/((FACT(s)*((Mu*s)-Lambda)/((Lambda/Mu)^s)*SUM(A4:A28)+Mu*s)*(1-SUM(C10:C13)/(Mu*s))*(1-SUM(Lambdai)/(Mu*s)))+1/Mu</f>
        <v>1.75</v>
      </c>
      <c r="G14" s="64">
        <f ca="1">W-1/Mu</f>
        <v>1.5</v>
      </c>
      <c r="H14" s="58"/>
    </row>
    <row r="15" spans="1:8" ht="13.5" thickBot="1">
      <c r="A15" s="51">
        <f>IF(s-1&gt;=11,(Lambda/Mu)^11/FACT(11),0)</f>
        <v>0</v>
      </c>
      <c r="B15" s="49"/>
      <c r="C15" s="49"/>
      <c r="D15" s="17"/>
      <c r="E15" s="17"/>
      <c r="F15" s="17"/>
      <c r="G15" s="17"/>
    </row>
    <row r="16" spans="1:8">
      <c r="A16" s="51">
        <f>IF(s-1&gt;=12,(Lambda/Mu)^12/FACT(12),0)</f>
        <v>0</v>
      </c>
      <c r="B16" s="2" t="s">
        <v>2</v>
      </c>
      <c r="C16" s="65">
        <f ca="1">Rho*Mu*s</f>
        <v>3</v>
      </c>
      <c r="D16" s="17"/>
      <c r="E16" s="16" t="str">
        <f ca="1">IF(Rho&gt;=1,"Model invalid because:","")</f>
        <v/>
      </c>
      <c r="F16" s="17"/>
      <c r="G16" s="17"/>
    </row>
    <row r="17" spans="1:7" ht="13.5" thickBot="1">
      <c r="A17" s="51">
        <f>IF(s-1&gt;=13,(Lambda/Mu)^13/FACT(13),0)</f>
        <v>0</v>
      </c>
      <c r="B17" s="2" t="s">
        <v>9</v>
      </c>
      <c r="C17" s="66">
        <f ca="1">SUM(OFFSET(Lambdai,0,0,n,1))/(s*Mu)</f>
        <v>0.75</v>
      </c>
      <c r="D17" s="17"/>
      <c r="E17" s="49"/>
      <c r="F17" s="17"/>
      <c r="G17" s="17"/>
    </row>
    <row r="18" spans="1:7">
      <c r="A18" s="51">
        <f>IF(s-1&gt;=14,(Lambda/Mu)^14/FACT(14),0)</f>
        <v>0</v>
      </c>
      <c r="D18" s="17"/>
      <c r="E18" s="26" t="str">
        <f ca="1">IF(Rho&gt;=1,"   r   &gt;=   1","")</f>
        <v/>
      </c>
      <c r="F18" s="17"/>
      <c r="G18" s="17"/>
    </row>
    <row r="19" spans="1:7">
      <c r="A19" s="51">
        <f>IF(s-1&gt;=15,(Lambda/Mu)^15/FACT(15),0)</f>
        <v>0</v>
      </c>
      <c r="D19" s="17"/>
      <c r="E19" s="17"/>
      <c r="F19" s="17"/>
      <c r="G19" s="17"/>
    </row>
    <row r="20" spans="1:7">
      <c r="A20" s="51">
        <f>IF(s-1&gt;=16,(Lambda/Mu)^16/FACT(16),0)</f>
        <v>0</v>
      </c>
      <c r="D20" s="17"/>
      <c r="E20" s="17"/>
      <c r="F20" s="17"/>
      <c r="G20" s="17"/>
    </row>
    <row r="21" spans="1:7">
      <c r="A21" s="51">
        <f>IF(s-1&gt;=17,(Lambda/Mu)^17/FACT(17),0)</f>
        <v>0</v>
      </c>
      <c r="D21" s="17"/>
      <c r="E21" s="17"/>
      <c r="F21" s="17"/>
      <c r="G21" s="17"/>
    </row>
    <row r="22" spans="1:7">
      <c r="A22" s="51">
        <f>IF(s-1&gt;=18,(Lambda/Mu)^18/FACT(18),0)</f>
        <v>0</v>
      </c>
      <c r="B22" s="49"/>
      <c r="C22" s="49"/>
      <c r="E22" s="49"/>
    </row>
    <row r="23" spans="1:7">
      <c r="A23" s="51">
        <f>IF(s-1&gt;=19,(Lambda/Mu)^19/FACT(19),0)</f>
        <v>0</v>
      </c>
      <c r="B23" s="49"/>
      <c r="C23" s="49"/>
      <c r="E23" s="49"/>
    </row>
    <row r="24" spans="1:7">
      <c r="A24" s="51">
        <f>IF(s-1&gt;=20,(Lambda/Mu)^20/FACT(20),0)</f>
        <v>0</v>
      </c>
    </row>
    <row r="25" spans="1:7">
      <c r="A25" s="51">
        <f>IF(s-1&gt;=21,(Lambda/Mu)^21/FACT(21),0)</f>
        <v>0</v>
      </c>
    </row>
    <row r="26" spans="1:7">
      <c r="A26" s="51">
        <f>IF(s-1&gt;=22,(Lambda/Mu)^22/FACT(22),0)</f>
        <v>0</v>
      </c>
    </row>
    <row r="27" spans="1:7">
      <c r="A27" s="51">
        <f>IF(s-1&gt;=23,(Lambda/Mu)^23/FACT(23),0)</f>
        <v>0</v>
      </c>
    </row>
    <row r="28" spans="1:7">
      <c r="A28" s="51">
        <f>IF(s-1&gt;=24,(Lambda/Mu)^24/FACT(24),0)</f>
        <v>0</v>
      </c>
    </row>
  </sheetData>
  <mergeCells count="1">
    <mergeCell ref="E8:F8"/>
  </mergeCells>
  <conditionalFormatting sqref="B11:G11">
    <cfRule type="expression" dxfId="7" priority="1" stopIfTrue="1">
      <formula>(n&lt;2)</formula>
    </cfRule>
  </conditionalFormatting>
  <conditionalFormatting sqref="B12:G12">
    <cfRule type="expression" dxfId="6" priority="2" stopIfTrue="1">
      <formula>(n&lt;3)</formula>
    </cfRule>
  </conditionalFormatting>
  <conditionalFormatting sqref="B13:G13">
    <cfRule type="expression" dxfId="5" priority="3" stopIfTrue="1">
      <formula>(n&lt;4)</formula>
    </cfRule>
  </conditionalFormatting>
  <conditionalFormatting sqref="B14:G14">
    <cfRule type="expression" dxfId="4" priority="4" stopIfTrue="1">
      <formula>(n&lt;5)</formula>
    </cfRule>
  </conditionalFormatting>
  <dataValidations count="4">
    <dataValidation type="decimal" operator="greaterThan" allowBlank="1" showInputMessage="1" showErrorMessage="1" error="The mean arrival rate for this priority class must be greater than zero." sqref="C10:C14" xr:uid="{7A1BBAB2-5D0D-4AF1-8044-DFBCEB563F7B}">
      <formula1>0</formula1>
    </dataValidation>
    <dataValidation type="decimal" operator="greaterThan" allowBlank="1" showInputMessage="1" showErrorMessage="1" error="The mean service rate must be greater than zero." sqref="C5" xr:uid="{AFA596ED-91F2-4BC5-8A00-B781ABDB61D8}">
      <formula1>0</formula1>
    </dataValidation>
    <dataValidation type="whole" allowBlank="1" showInputMessage="1" showErrorMessage="1" error="The number of priority classes must be an integer between 1 and 5 (inclusive)." sqref="C4" xr:uid="{513CB737-7F13-4003-980F-E8BBCDA9256B}">
      <formula1>1</formula1>
      <formula2>5</formula2>
    </dataValidation>
    <dataValidation type="whole" operator="greaterThanOrEqual" allowBlank="1" showInputMessage="1" showErrorMessage="1" error="The number of servers must be an integer greater than or equal to one." sqref="C6" xr:uid="{EFCEA153-52DF-4615-9B1C-DCBF19BE4780}">
      <formula1>1</formula1>
    </dataValidation>
  </dataValidations>
  <printOptions headings="1" gridLines="1"/>
  <pageMargins left="0.75" right="0.75" top="1" bottom="1" header="0.5" footer="0.5"/>
  <pageSetup paperSize="0" orientation="landscape" horizontalDpi="4294967292" verticalDpi="4294967292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019D8-1B67-428F-B3E5-DB0DEA8C9EAB}">
  <sheetPr>
    <pageSetUpPr fitToPage="1"/>
  </sheetPr>
  <dimension ref="A1:H28"/>
  <sheetViews>
    <sheetView workbookViewId="0">
      <selection activeCell="C12" sqref="C12"/>
    </sheetView>
  </sheetViews>
  <sheetFormatPr defaultColWidth="10.7109375" defaultRowHeight="12.75"/>
  <cols>
    <col min="1" max="1" width="2.7109375" style="49" customWidth="1"/>
    <col min="2" max="2" width="12.85546875" style="11" bestFit="1" customWidth="1"/>
    <col min="3" max="3" width="9.7109375" style="17" customWidth="1"/>
    <col min="4" max="4" width="9.7109375" style="49" customWidth="1"/>
    <col min="5" max="5" width="9.7109375" style="11" customWidth="1"/>
    <col min="6" max="7" width="9.7109375" style="49" customWidth="1"/>
    <col min="8" max="16384" width="10.7109375" style="49"/>
  </cols>
  <sheetData>
    <row r="1" spans="1:8" ht="18">
      <c r="A1" s="48" t="s">
        <v>70</v>
      </c>
    </row>
    <row r="3" spans="1:8">
      <c r="C3" s="50" t="s">
        <v>0</v>
      </c>
    </row>
    <row r="4" spans="1:8">
      <c r="A4" s="51">
        <f ca="1">IF(s-1&gt;=0,(Lambda/Mu)^0/FACT(0),0)</f>
        <v>1</v>
      </c>
      <c r="B4" s="11" t="s">
        <v>71</v>
      </c>
      <c r="C4" s="52">
        <v>2</v>
      </c>
      <c r="D4" s="49" t="s">
        <v>72</v>
      </c>
    </row>
    <row r="5" spans="1:8">
      <c r="A5" s="51">
        <f>IF(s-1&gt;=1,(Lambda/Mu)^1/FACT(1),0)</f>
        <v>0</v>
      </c>
      <c r="B5" s="2" t="s">
        <v>4</v>
      </c>
      <c r="C5" s="52">
        <v>4</v>
      </c>
      <c r="D5" s="49" t="s">
        <v>11</v>
      </c>
    </row>
    <row r="6" spans="1:8">
      <c r="A6" s="51">
        <f>IF(s-1&gt;=2,(Lambda/Mu)^2/FACT(2),0)</f>
        <v>0</v>
      </c>
      <c r="B6" s="11" t="s">
        <v>5</v>
      </c>
      <c r="C6" s="52">
        <v>1</v>
      </c>
      <c r="D6" s="49" t="s">
        <v>6</v>
      </c>
    </row>
    <row r="7" spans="1:8">
      <c r="A7" s="51">
        <f>IF(s-1&gt;=3,(Lambda/Mu)^3/FACT(3),0)</f>
        <v>0</v>
      </c>
    </row>
    <row r="8" spans="1:8">
      <c r="A8" s="51">
        <f>IF(s-1&gt;=4,(Lambda/Mu)^4/FACT(4),0)</f>
        <v>0</v>
      </c>
      <c r="D8" s="50"/>
      <c r="E8" s="73" t="s">
        <v>1</v>
      </c>
      <c r="F8" s="73"/>
    </row>
    <row r="9" spans="1:8" ht="21.75" thickBot="1">
      <c r="A9" s="51">
        <f>IF(s-1&gt;=5,(Lambda/Mu)^5/FACT(5),0)</f>
        <v>0</v>
      </c>
      <c r="C9" s="53" t="s">
        <v>73</v>
      </c>
      <c r="D9" s="17" t="s">
        <v>15</v>
      </c>
      <c r="E9" s="17" t="s">
        <v>18</v>
      </c>
      <c r="F9" s="17" t="s">
        <v>31</v>
      </c>
      <c r="G9" s="17" t="s">
        <v>32</v>
      </c>
      <c r="H9" s="54"/>
    </row>
    <row r="10" spans="1:8">
      <c r="A10" s="51">
        <f>IF(s-1&gt;=6,(Lambda/Mu)^6/FACT(6),0)</f>
        <v>0</v>
      </c>
      <c r="B10" s="11" t="s">
        <v>74</v>
      </c>
      <c r="C10" s="52">
        <v>1.5</v>
      </c>
      <c r="D10" s="55">
        <f ca="1">W*Lambdai</f>
        <v>0.82500000000000007</v>
      </c>
      <c r="E10" s="56">
        <f ca="1">Wq*Lambdai</f>
        <v>0.45000000000000007</v>
      </c>
      <c r="F10" s="56">
        <f ca="1">1/((FACT(s)*((Mu*s)-Lambda)/((Lambda/Mu)^s)*SUM(A4:A28)+Mu*s)*(1-Lambdai/(Mu*s)))+1/Mu</f>
        <v>0.55000000000000004</v>
      </c>
      <c r="G10" s="57">
        <f ca="1">W-1/Mu</f>
        <v>0.30000000000000004</v>
      </c>
      <c r="H10" s="58"/>
    </row>
    <row r="11" spans="1:8">
      <c r="A11" s="51">
        <f>IF(s-1&gt;=7,(Lambda/Mu)^7/FACT(7),0)</f>
        <v>0</v>
      </c>
      <c r="B11" s="11" t="s">
        <v>75</v>
      </c>
      <c r="C11" s="52">
        <v>1.5</v>
      </c>
      <c r="D11" s="59">
        <f ca="1">W*Lambdai</f>
        <v>2.1750000000000003</v>
      </c>
      <c r="E11" s="60">
        <f ca="1">Wq*Lambdai</f>
        <v>1.8000000000000003</v>
      </c>
      <c r="F11" s="60">
        <f ca="1">1/((FACT(s)*((Mu*s)-Lambda)/((Lambda/Mu)^s)*SUM(A4:A28)+Mu*s)*(1-C10/(Mu*s))*(1-SUM(C10:C11)/(Mu*s)))+1/Mu</f>
        <v>1.4500000000000002</v>
      </c>
      <c r="G11" s="61">
        <f ca="1">W-1/Mu</f>
        <v>1.2000000000000002</v>
      </c>
      <c r="H11" s="58"/>
    </row>
    <row r="12" spans="1:8">
      <c r="A12" s="51">
        <f>IF(s-1&gt;=8,(Lambda/Mu)^8/FACT(8),0)</f>
        <v>0</v>
      </c>
      <c r="B12" s="11" t="s">
        <v>76</v>
      </c>
      <c r="C12" s="52">
        <v>1</v>
      </c>
      <c r="D12" s="59" t="e">
        <f ca="1">W*Lambdai</f>
        <v>#DIV/0!</v>
      </c>
      <c r="E12" s="60" t="e">
        <f ca="1">Wq*Lambdai</f>
        <v>#DIV/0!</v>
      </c>
      <c r="F12" s="60" t="e">
        <f ca="1">1/((FACT(s)*((Mu*s)-Lambda)/((Lambda/Mu)^s)*SUM(A4:A28)+Mu*s)*(1-SUM(C10:C11)/(Mu*s))*(1-SUM(C10:C12)/(Mu*s)))+1/Mu</f>
        <v>#DIV/0!</v>
      </c>
      <c r="G12" s="61" t="e">
        <f ca="1">W-1/Mu</f>
        <v>#DIV/0!</v>
      </c>
      <c r="H12" s="58"/>
    </row>
    <row r="13" spans="1:8">
      <c r="A13" s="51">
        <f>IF(s-1&gt;=9,(Lambda/Mu)^9/FACT(9),0)</f>
        <v>0</v>
      </c>
      <c r="B13" s="11" t="s">
        <v>77</v>
      </c>
      <c r="C13" s="52">
        <v>1</v>
      </c>
      <c r="D13" s="59" t="e">
        <f ca="1">W*Lambdai</f>
        <v>#DIV/0!</v>
      </c>
      <c r="E13" s="60" t="e">
        <f ca="1">Wq*Lambdai</f>
        <v>#DIV/0!</v>
      </c>
      <c r="F13" s="60" t="e">
        <f ca="1">1/((FACT(s)*((Mu*s)-Lambda)/((Lambda/Mu)^s)*SUM(A4:A28)+Mu*s)*(1-SUM(C10:C12)/(Mu*s))*(1-SUM(C10:C13)/(Mu*s)))+1/Mu</f>
        <v>#DIV/0!</v>
      </c>
      <c r="G13" s="61" t="e">
        <f ca="1">W-1/Mu</f>
        <v>#DIV/0!</v>
      </c>
      <c r="H13" s="58"/>
    </row>
    <row r="14" spans="1:8" ht="13.5" thickBot="1">
      <c r="A14" s="51">
        <f>IF(s-1&gt;=10,(Lambda/Mu)^10/FACT(10),0)</f>
        <v>0</v>
      </c>
      <c r="B14" s="11" t="s">
        <v>78</v>
      </c>
      <c r="C14" s="52">
        <v>1</v>
      </c>
      <c r="D14" s="62">
        <f ca="1">W*Lambdai</f>
        <v>1.75</v>
      </c>
      <c r="E14" s="63">
        <f ca="1">Wq*Lambdai</f>
        <v>1.5</v>
      </c>
      <c r="F14" s="63">
        <f ca="1">1/((FACT(s)*((Mu*s)-Lambda)/((Lambda/Mu)^s)*SUM(A4:A28)+Mu*s)*(1-SUM(C10:C13)/(Mu*s))*(1-SUM(Lambdai)/(Mu*s)))+1/Mu</f>
        <v>1.75</v>
      </c>
      <c r="G14" s="64">
        <f ca="1">W-1/Mu</f>
        <v>1.5</v>
      </c>
      <c r="H14" s="58"/>
    </row>
    <row r="15" spans="1:8" ht="13.5" thickBot="1">
      <c r="A15" s="51">
        <f>IF(s-1&gt;=11,(Lambda/Mu)^11/FACT(11),0)</f>
        <v>0</v>
      </c>
      <c r="B15" s="49"/>
      <c r="C15" s="49"/>
      <c r="D15" s="17"/>
      <c r="E15" s="17"/>
      <c r="F15" s="17"/>
      <c r="G15" s="17"/>
    </row>
    <row r="16" spans="1:8">
      <c r="A16" s="51">
        <f>IF(s-1&gt;=12,(Lambda/Mu)^12/FACT(12),0)</f>
        <v>0</v>
      </c>
      <c r="B16" s="2" t="s">
        <v>2</v>
      </c>
      <c r="C16" s="65">
        <f ca="1">Rho*Mu*s</f>
        <v>3</v>
      </c>
      <c r="D16" s="17"/>
      <c r="E16" s="16" t="str">
        <f ca="1">IF(Rho&gt;=1,"Model invalid because:","")</f>
        <v/>
      </c>
      <c r="F16" s="17"/>
      <c r="G16" s="17"/>
    </row>
    <row r="17" spans="1:7" ht="13.5" thickBot="1">
      <c r="A17" s="51">
        <f>IF(s-1&gt;=13,(Lambda/Mu)^13/FACT(13),0)</f>
        <v>0</v>
      </c>
      <c r="B17" s="2" t="s">
        <v>9</v>
      </c>
      <c r="C17" s="66">
        <f ca="1">SUM(OFFSET(Lambdai,0,0,n,1))/(s*Mu)</f>
        <v>0.75</v>
      </c>
      <c r="D17" s="17"/>
      <c r="E17" s="49"/>
      <c r="F17" s="17"/>
      <c r="G17" s="17"/>
    </row>
    <row r="18" spans="1:7">
      <c r="A18" s="51">
        <f>IF(s-1&gt;=14,(Lambda/Mu)^14/FACT(14),0)</f>
        <v>0</v>
      </c>
      <c r="D18" s="17"/>
      <c r="E18" s="26" t="str">
        <f ca="1">IF(Rho&gt;=1,"   r   &gt;=   1","")</f>
        <v/>
      </c>
      <c r="F18" s="17"/>
      <c r="G18" s="17"/>
    </row>
    <row r="19" spans="1:7">
      <c r="A19" s="51">
        <f>IF(s-1&gt;=15,(Lambda/Mu)^15/FACT(15),0)</f>
        <v>0</v>
      </c>
      <c r="D19" s="17"/>
      <c r="E19" s="17"/>
      <c r="F19" s="17"/>
      <c r="G19" s="17"/>
    </row>
    <row r="20" spans="1:7">
      <c r="A20" s="51">
        <f>IF(s-1&gt;=16,(Lambda/Mu)^16/FACT(16),0)</f>
        <v>0</v>
      </c>
      <c r="D20" s="17"/>
      <c r="E20" s="17"/>
      <c r="F20" s="17"/>
      <c r="G20" s="17"/>
    </row>
    <row r="21" spans="1:7">
      <c r="A21" s="51">
        <f>IF(s-1&gt;=17,(Lambda/Mu)^17/FACT(17),0)</f>
        <v>0</v>
      </c>
      <c r="D21" s="17"/>
      <c r="E21" s="17"/>
      <c r="F21" s="17"/>
      <c r="G21" s="17"/>
    </row>
    <row r="22" spans="1:7">
      <c r="A22" s="51">
        <f>IF(s-1&gt;=18,(Lambda/Mu)^18/FACT(18),0)</f>
        <v>0</v>
      </c>
      <c r="B22" s="49"/>
      <c r="C22" s="49"/>
      <c r="E22" s="49"/>
    </row>
    <row r="23" spans="1:7">
      <c r="A23" s="51">
        <f>IF(s-1&gt;=19,(Lambda/Mu)^19/FACT(19),0)</f>
        <v>0</v>
      </c>
      <c r="B23" s="49"/>
      <c r="C23" s="49"/>
      <c r="E23" s="49"/>
    </row>
    <row r="24" spans="1:7">
      <c r="A24" s="51">
        <f>IF(s-1&gt;=20,(Lambda/Mu)^20/FACT(20),0)</f>
        <v>0</v>
      </c>
    </row>
    <row r="25" spans="1:7">
      <c r="A25" s="51">
        <f>IF(s-1&gt;=21,(Lambda/Mu)^21/FACT(21),0)</f>
        <v>0</v>
      </c>
    </row>
    <row r="26" spans="1:7">
      <c r="A26" s="51">
        <f>IF(s-1&gt;=22,(Lambda/Mu)^22/FACT(22),0)</f>
        <v>0</v>
      </c>
    </row>
    <row r="27" spans="1:7">
      <c r="A27" s="51">
        <f>IF(s-1&gt;=23,(Lambda/Mu)^23/FACT(23),0)</f>
        <v>0</v>
      </c>
    </row>
    <row r="28" spans="1:7">
      <c r="A28" s="51">
        <f>IF(s-1&gt;=24,(Lambda/Mu)^24/FACT(24),0)</f>
        <v>0</v>
      </c>
    </row>
  </sheetData>
  <mergeCells count="1">
    <mergeCell ref="E8:F8"/>
  </mergeCells>
  <conditionalFormatting sqref="B11:G11">
    <cfRule type="expression" dxfId="3" priority="1" stopIfTrue="1">
      <formula>(n&lt;2)</formula>
    </cfRule>
  </conditionalFormatting>
  <conditionalFormatting sqref="B12:G12">
    <cfRule type="expression" dxfId="2" priority="2" stopIfTrue="1">
      <formula>(n&lt;3)</formula>
    </cfRule>
  </conditionalFormatting>
  <conditionalFormatting sqref="B13:G13">
    <cfRule type="expression" dxfId="1" priority="3" stopIfTrue="1">
      <formula>(n&lt;4)</formula>
    </cfRule>
  </conditionalFormatting>
  <conditionalFormatting sqref="B14:G14">
    <cfRule type="expression" dxfId="0" priority="4" stopIfTrue="1">
      <formula>(n&lt;5)</formula>
    </cfRule>
  </conditionalFormatting>
  <dataValidations count="4">
    <dataValidation type="whole" operator="greaterThanOrEqual" allowBlank="1" showInputMessage="1" showErrorMessage="1" error="The number of servers must be an integer greater than or equal to one." sqref="C6" xr:uid="{57124A26-86DD-44C7-80A0-E490EA440725}">
      <formula1>1</formula1>
    </dataValidation>
    <dataValidation type="whole" allowBlank="1" showInputMessage="1" showErrorMessage="1" error="The number of priority classes must be an integer between 1 and 5 (inclusive)." sqref="C4" xr:uid="{C0B60BF9-7AE0-4ED7-A099-BDAF5C301B4A}">
      <formula1>1</formula1>
      <formula2>5</formula2>
    </dataValidation>
    <dataValidation type="decimal" operator="greaterThan" allowBlank="1" showInputMessage="1" showErrorMessage="1" error="The mean service rate must be greater than zero." sqref="C5" xr:uid="{9819708F-3229-4D7F-AE79-0783F23A98AC}">
      <formula1>0</formula1>
    </dataValidation>
    <dataValidation type="decimal" operator="greaterThan" allowBlank="1" showInputMessage="1" showErrorMessage="1" error="The mean arrival rate for this priority class must be greater than zero." sqref="C10:C14" xr:uid="{B909834C-775C-4D18-997F-D68C90AF2134}">
      <formula1>0</formula1>
    </dataValidation>
  </dataValidations>
  <printOptions headings="1" gridLines="1"/>
  <pageMargins left="0.75" right="0.75" top="1" bottom="1" header="0.5" footer="0.5"/>
  <pageSetup paperSize="0" orientation="landscape" horizontalDpi="4294967292" verticalDpi="4294967292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5946B-AC40-41DF-9113-6190C6A2DADA}">
  <sheetPr>
    <pageSetUpPr fitToPage="1"/>
  </sheetPr>
  <dimension ref="A1:J38"/>
  <sheetViews>
    <sheetView workbookViewId="0">
      <selection activeCell="L33" sqref="L33"/>
    </sheetView>
  </sheetViews>
  <sheetFormatPr defaultColWidth="10.7109375" defaultRowHeight="12.75"/>
  <cols>
    <col min="1" max="1" width="2.7109375" style="6" customWidth="1"/>
    <col min="2" max="2" width="12.85546875" style="4" customWidth="1"/>
    <col min="3" max="3" width="9.42578125" style="5" customWidth="1"/>
    <col min="4" max="4" width="17.5703125" style="6" customWidth="1"/>
    <col min="5" max="5" width="25.140625" style="6" customWidth="1"/>
    <col min="6" max="6" width="4.85546875" style="4" bestFit="1" customWidth="1"/>
    <col min="7" max="7" width="12" style="6" bestFit="1" customWidth="1"/>
    <col min="8" max="8" width="5.7109375" style="6" customWidth="1"/>
    <col min="9" max="9" width="12.42578125" style="6" bestFit="1" customWidth="1"/>
    <col min="10" max="10" width="8" style="6" bestFit="1" customWidth="1"/>
    <col min="11" max="16384" width="10.7109375" style="6"/>
  </cols>
  <sheetData>
    <row r="1" spans="1:10" ht="18">
      <c r="A1" s="3" t="s">
        <v>79</v>
      </c>
    </row>
    <row r="2" spans="1:10" ht="13.5" thickBot="1"/>
    <row r="3" spans="1:10" ht="13.5" thickBot="1">
      <c r="C3" s="7" t="s">
        <v>0</v>
      </c>
      <c r="G3" s="8" t="s">
        <v>1</v>
      </c>
      <c r="I3" s="28" t="s">
        <v>13</v>
      </c>
      <c r="J3" s="29" t="s">
        <v>14</v>
      </c>
    </row>
    <row r="4" spans="1:10">
      <c r="B4" s="1" t="s">
        <v>2</v>
      </c>
      <c r="C4" s="27">
        <v>120</v>
      </c>
      <c r="D4" s="6" t="s">
        <v>10</v>
      </c>
      <c r="F4" s="11" t="s">
        <v>3</v>
      </c>
      <c r="G4" s="67">
        <f>IF(Rho&lt;1,Lq+Lambda/Mu,NA())</f>
        <v>1.736842105263158</v>
      </c>
      <c r="I4" s="31" t="s">
        <v>80</v>
      </c>
      <c r="J4" s="32" t="s">
        <v>81</v>
      </c>
    </row>
    <row r="5" spans="1:10" ht="15.75">
      <c r="B5" s="1" t="s">
        <v>4</v>
      </c>
      <c r="C5" s="27">
        <v>80</v>
      </c>
      <c r="D5" s="6" t="s">
        <v>11</v>
      </c>
      <c r="F5" s="11" t="s">
        <v>34</v>
      </c>
      <c r="G5" s="68">
        <f>IF(Rho&lt;1,Lambda*Mu*((Lambda/Mu)^s)/(FACT(s-1)*(s*Mu-Lambda)^2/P0),NA())</f>
        <v>0.23684210526315788</v>
      </c>
      <c r="I5" s="34" t="s">
        <v>82</v>
      </c>
      <c r="J5" s="35" t="s">
        <v>83</v>
      </c>
    </row>
    <row r="6" spans="1:10">
      <c r="B6" s="4" t="s">
        <v>5</v>
      </c>
      <c r="C6" s="27">
        <v>3</v>
      </c>
      <c r="D6" s="6" t="s">
        <v>6</v>
      </c>
      <c r="F6" s="11"/>
      <c r="G6" s="68"/>
      <c r="I6" s="34" t="s">
        <v>84</v>
      </c>
      <c r="J6" s="35" t="s">
        <v>85</v>
      </c>
    </row>
    <row r="7" spans="1:10" ht="13.5" thickBot="1">
      <c r="F7" s="11" t="s">
        <v>7</v>
      </c>
      <c r="G7" s="68">
        <f>IF(Rho&lt;1,L/Lambda,NA())</f>
        <v>1.4473684210526316E-2</v>
      </c>
      <c r="I7" s="34" t="s">
        <v>86</v>
      </c>
      <c r="J7" s="35" t="s">
        <v>87</v>
      </c>
    </row>
    <row r="8" spans="1:10" ht="16.5" thickBot="1">
      <c r="B8" s="11" t="s">
        <v>33</v>
      </c>
      <c r="C8" s="22">
        <f>IF((s-1-Lambda/Mu)=0,EXP(-Mu*Time1)*(1+P0*((Lambda/Mu)^s)/(FACT(s)*(1-Rho))*Mu*C9),EXP(-Mu*Time1)*(1+P0*((Lambda/Mu)^s)/(FACT(s)*(1-Rho))*(1-EXP(-Mu*Time1*(s-1-Lambda/Mu)))/(s-1-Lambda/Mu)))</f>
        <v>2.5817322068134724E-2</v>
      </c>
      <c r="F8" s="11" t="s">
        <v>35</v>
      </c>
      <c r="G8" s="68">
        <f>IF(Rho&lt;1,Lq/Lambda,NA())</f>
        <v>1.9736842105263159E-3</v>
      </c>
      <c r="I8" s="34" t="s">
        <v>15</v>
      </c>
      <c r="J8" s="35" t="s">
        <v>48</v>
      </c>
    </row>
    <row r="9" spans="1:10">
      <c r="B9" s="4" t="s">
        <v>8</v>
      </c>
      <c r="C9" s="27">
        <v>0.05</v>
      </c>
      <c r="E9" s="16" t="str">
        <f>IF(Rho&gt;=1,"Model invalid because:","")</f>
        <v/>
      </c>
      <c r="F9" s="11"/>
      <c r="G9" s="68"/>
      <c r="I9" s="34" t="s">
        <v>16</v>
      </c>
      <c r="J9" s="35" t="s">
        <v>17</v>
      </c>
    </row>
    <row r="10" spans="1:10" ht="13.5" thickBot="1">
      <c r="E10" s="26" t="str">
        <f>IF(Rho&gt;=1,"   r   &gt;=   1","")</f>
        <v/>
      </c>
      <c r="F10" s="2" t="s">
        <v>9</v>
      </c>
      <c r="G10" s="69">
        <f>Lambda/(s*Mu)</f>
        <v>0.5</v>
      </c>
      <c r="I10" s="34" t="s">
        <v>18</v>
      </c>
      <c r="J10" s="35" t="s">
        <v>53</v>
      </c>
    </row>
    <row r="11" spans="1:10" ht="16.5" thickBot="1">
      <c r="B11" s="11" t="s">
        <v>36</v>
      </c>
      <c r="C11" s="22">
        <f ca="1">(1-SUM(OFFSET(P0,0,0,s,1)))*EXP(-s*Mu*(1-Rho)*Time2)</f>
        <v>5.8707288394729557E-4</v>
      </c>
      <c r="I11" s="34" t="s">
        <v>19</v>
      </c>
      <c r="J11" s="35" t="s">
        <v>20</v>
      </c>
    </row>
    <row r="12" spans="1:10" ht="16.5" thickBot="1">
      <c r="B12" s="4" t="s">
        <v>8</v>
      </c>
      <c r="C12" s="27">
        <v>0.05</v>
      </c>
      <c r="F12" s="11" t="s">
        <v>12</v>
      </c>
      <c r="G12" s="17" t="s">
        <v>37</v>
      </c>
      <c r="I12" s="34" t="s">
        <v>12</v>
      </c>
      <c r="J12" s="35" t="s">
        <v>88</v>
      </c>
    </row>
    <row r="13" spans="1:10">
      <c r="A13" s="51">
        <f>IF(F13&lt;=s-1,((Lambda/Mu)^F13)/FACT(F13),0)</f>
        <v>1</v>
      </c>
      <c r="F13" s="11">
        <v>0</v>
      </c>
      <c r="G13" s="67">
        <f>IF(Rho&lt;1,1/(SUM(A13:A38)+((Lambda/Mu)^s)/(FACT(s)*(1-Lambda/(s*Mu)))),NA())</f>
        <v>0.21052631578947367</v>
      </c>
      <c r="I13" s="34" t="s">
        <v>21</v>
      </c>
      <c r="J13" s="35" t="s">
        <v>89</v>
      </c>
    </row>
    <row r="14" spans="1:10">
      <c r="A14" s="51">
        <f t="shared" ref="A14:A38" si="0">IF(F14&lt;=s-1,((Lambda/Mu)^F14)/FACT(F14),0)</f>
        <v>1.5</v>
      </c>
      <c r="B14" s="16" t="s">
        <v>90</v>
      </c>
      <c r="C14" s="6"/>
      <c r="F14" s="11">
        <v>1</v>
      </c>
      <c r="G14" s="68">
        <f t="shared" ref="G14:G38" si="1">IF(Rho&lt;1,IF(s=1,(1-Rho)*Rho^n,IF(s&gt;=n,((Lambda/Mu)^n)*P0/FACT(n),((Lambda/Mu)^n)*P0/(FACT(s)*(s^(n-s))))),NA())</f>
        <v>0.31578947368421051</v>
      </c>
      <c r="I14" s="34" t="s">
        <v>22</v>
      </c>
      <c r="J14" s="35" t="s">
        <v>23</v>
      </c>
    </row>
    <row r="15" spans="1:10">
      <c r="A15" s="51">
        <f t="shared" si="0"/>
        <v>1.125</v>
      </c>
      <c r="B15" s="4" t="s">
        <v>91</v>
      </c>
      <c r="C15" s="70">
        <v>20</v>
      </c>
      <c r="D15" s="6" t="s">
        <v>92</v>
      </c>
      <c r="F15" s="11">
        <v>2</v>
      </c>
      <c r="G15" s="68">
        <f t="shared" si="1"/>
        <v>0.23684210526315788</v>
      </c>
      <c r="I15" s="34" t="s">
        <v>24</v>
      </c>
      <c r="J15" s="35" t="s">
        <v>55</v>
      </c>
    </row>
    <row r="16" spans="1:10">
      <c r="A16" s="51">
        <f t="shared" si="0"/>
        <v>0</v>
      </c>
      <c r="B16" s="4" t="s">
        <v>93</v>
      </c>
      <c r="C16" s="70">
        <v>48</v>
      </c>
      <c r="D16" s="6" t="s">
        <v>94</v>
      </c>
      <c r="F16" s="11">
        <v>3</v>
      </c>
      <c r="G16" s="68">
        <f t="shared" si="1"/>
        <v>0.11842105263157894</v>
      </c>
      <c r="I16" s="34" t="s">
        <v>25</v>
      </c>
      <c r="J16" s="35" t="s">
        <v>26</v>
      </c>
    </row>
    <row r="17" spans="1:10">
      <c r="A17" s="51">
        <f t="shared" si="0"/>
        <v>0</v>
      </c>
      <c r="B17" s="6"/>
      <c r="F17" s="11">
        <v>4</v>
      </c>
      <c r="G17" s="68">
        <f t="shared" si="1"/>
        <v>5.9210526315789463E-2</v>
      </c>
      <c r="I17" s="34" t="s">
        <v>27</v>
      </c>
      <c r="J17" s="35" t="s">
        <v>28</v>
      </c>
    </row>
    <row r="18" spans="1:10">
      <c r="A18" s="51">
        <f t="shared" si="0"/>
        <v>0</v>
      </c>
      <c r="B18" s="4" t="s">
        <v>95</v>
      </c>
      <c r="C18" s="71">
        <f>Cs*s</f>
        <v>60</v>
      </c>
      <c r="F18" s="11">
        <v>5</v>
      </c>
      <c r="G18" s="68">
        <f t="shared" si="1"/>
        <v>2.9605263157894735E-2</v>
      </c>
      <c r="I18" s="34" t="s">
        <v>29</v>
      </c>
      <c r="J18" s="35" t="s">
        <v>30</v>
      </c>
    </row>
    <row r="19" spans="1:10" ht="13.5" thickBot="1">
      <c r="A19" s="51">
        <f t="shared" si="0"/>
        <v>0</v>
      </c>
      <c r="B19" s="4" t="s">
        <v>96</v>
      </c>
      <c r="C19" s="71">
        <f>Cw*L</f>
        <v>83.368421052631589</v>
      </c>
      <c r="F19" s="11">
        <v>6</v>
      </c>
      <c r="G19" s="68">
        <f t="shared" si="1"/>
        <v>1.4802631578947368E-2</v>
      </c>
      <c r="I19" s="34" t="s">
        <v>97</v>
      </c>
      <c r="J19" s="35" t="s">
        <v>98</v>
      </c>
    </row>
    <row r="20" spans="1:10" ht="13.5" thickBot="1">
      <c r="A20" s="51">
        <f t="shared" si="0"/>
        <v>0</v>
      </c>
      <c r="B20" s="4" t="s">
        <v>99</v>
      </c>
      <c r="C20" s="72">
        <f>CostOfService+CostOfWaiting</f>
        <v>143.36842105263159</v>
      </c>
      <c r="F20" s="11">
        <v>7</v>
      </c>
      <c r="G20" s="68">
        <f t="shared" si="1"/>
        <v>7.4013157894736838E-3</v>
      </c>
      <c r="I20" s="34" t="s">
        <v>31</v>
      </c>
      <c r="J20" s="35" t="s">
        <v>58</v>
      </c>
    </row>
    <row r="21" spans="1:10" ht="13.5" thickBot="1">
      <c r="A21" s="51">
        <f t="shared" si="0"/>
        <v>0</v>
      </c>
      <c r="F21" s="11">
        <v>8</v>
      </c>
      <c r="G21" s="68">
        <f t="shared" si="1"/>
        <v>3.7006578947368423E-3</v>
      </c>
      <c r="I21" s="40" t="s">
        <v>32</v>
      </c>
      <c r="J21" s="41" t="s">
        <v>60</v>
      </c>
    </row>
    <row r="22" spans="1:10">
      <c r="A22" s="51">
        <f t="shared" si="0"/>
        <v>0</v>
      </c>
      <c r="F22" s="11">
        <v>9</v>
      </c>
      <c r="G22" s="68">
        <f t="shared" si="1"/>
        <v>1.8503289473684207E-3</v>
      </c>
    </row>
    <row r="23" spans="1:10">
      <c r="A23" s="51">
        <f t="shared" si="0"/>
        <v>0</v>
      </c>
      <c r="F23" s="11">
        <v>10</v>
      </c>
      <c r="G23" s="68">
        <f t="shared" si="1"/>
        <v>9.2516447368421058E-4</v>
      </c>
    </row>
    <row r="24" spans="1:10">
      <c r="A24" s="51">
        <f t="shared" si="0"/>
        <v>0</v>
      </c>
      <c r="F24" s="11">
        <v>11</v>
      </c>
      <c r="G24" s="68">
        <f t="shared" si="1"/>
        <v>4.6258223684210524E-4</v>
      </c>
    </row>
    <row r="25" spans="1:10">
      <c r="A25" s="51">
        <f t="shared" si="0"/>
        <v>0</v>
      </c>
      <c r="F25" s="11">
        <v>12</v>
      </c>
      <c r="G25" s="68">
        <f t="shared" si="1"/>
        <v>2.3129111842105262E-4</v>
      </c>
    </row>
    <row r="26" spans="1:10">
      <c r="A26" s="51">
        <f t="shared" si="0"/>
        <v>0</v>
      </c>
      <c r="F26" s="11">
        <v>13</v>
      </c>
      <c r="G26" s="68">
        <f t="shared" si="1"/>
        <v>1.156455592105263E-4</v>
      </c>
    </row>
    <row r="27" spans="1:10">
      <c r="A27" s="51">
        <f t="shared" si="0"/>
        <v>0</v>
      </c>
      <c r="F27" s="11">
        <v>14</v>
      </c>
      <c r="G27" s="68">
        <f t="shared" si="1"/>
        <v>5.7822779605263155E-5</v>
      </c>
    </row>
    <row r="28" spans="1:10">
      <c r="A28" s="51">
        <f t="shared" si="0"/>
        <v>0</v>
      </c>
      <c r="F28" s="11">
        <v>15</v>
      </c>
      <c r="G28" s="68">
        <f t="shared" si="1"/>
        <v>2.8911389802631577E-5</v>
      </c>
    </row>
    <row r="29" spans="1:10">
      <c r="A29" s="51">
        <f t="shared" si="0"/>
        <v>0</v>
      </c>
      <c r="F29" s="11">
        <v>16</v>
      </c>
      <c r="G29" s="68">
        <f t="shared" si="1"/>
        <v>1.4455694901315787E-5</v>
      </c>
    </row>
    <row r="30" spans="1:10">
      <c r="A30" s="51">
        <f t="shared" si="0"/>
        <v>0</v>
      </c>
      <c r="F30" s="11">
        <v>17</v>
      </c>
      <c r="G30" s="68">
        <f t="shared" si="1"/>
        <v>7.2278474506578943E-6</v>
      </c>
    </row>
    <row r="31" spans="1:10">
      <c r="A31" s="51">
        <f t="shared" si="0"/>
        <v>0</v>
      </c>
      <c r="F31" s="11">
        <v>18</v>
      </c>
      <c r="G31" s="68">
        <f t="shared" si="1"/>
        <v>3.6139237253289476E-6</v>
      </c>
    </row>
    <row r="32" spans="1:10">
      <c r="A32" s="51">
        <f t="shared" si="0"/>
        <v>0</v>
      </c>
      <c r="F32" s="11">
        <v>19</v>
      </c>
      <c r="G32" s="68">
        <f t="shared" si="1"/>
        <v>1.8069618626644736E-6</v>
      </c>
    </row>
    <row r="33" spans="1:7">
      <c r="A33" s="51">
        <f t="shared" si="0"/>
        <v>0</v>
      </c>
      <c r="F33" s="11">
        <v>20</v>
      </c>
      <c r="G33" s="68">
        <f t="shared" si="1"/>
        <v>9.0348093133223679E-7</v>
      </c>
    </row>
    <row r="34" spans="1:7">
      <c r="A34" s="51">
        <f t="shared" si="0"/>
        <v>0</v>
      </c>
      <c r="F34" s="11">
        <v>21</v>
      </c>
      <c r="G34" s="68">
        <f t="shared" si="1"/>
        <v>4.517404656661184E-7</v>
      </c>
    </row>
    <row r="35" spans="1:7">
      <c r="A35" s="51">
        <f t="shared" si="0"/>
        <v>0</v>
      </c>
      <c r="F35" s="11">
        <v>22</v>
      </c>
      <c r="G35" s="68">
        <f t="shared" si="1"/>
        <v>2.258702328330592E-7</v>
      </c>
    </row>
    <row r="36" spans="1:7">
      <c r="A36" s="51">
        <f t="shared" si="0"/>
        <v>0</v>
      </c>
      <c r="F36" s="11">
        <v>23</v>
      </c>
      <c r="G36" s="68">
        <f t="shared" si="1"/>
        <v>1.129351164165296E-7</v>
      </c>
    </row>
    <row r="37" spans="1:7">
      <c r="A37" s="51">
        <f t="shared" si="0"/>
        <v>0</v>
      </c>
      <c r="F37" s="11">
        <v>24</v>
      </c>
      <c r="G37" s="68">
        <f t="shared" si="1"/>
        <v>5.6467558208264799E-8</v>
      </c>
    </row>
    <row r="38" spans="1:7" ht="13.5" thickBot="1">
      <c r="A38" s="51">
        <f t="shared" si="0"/>
        <v>0</v>
      </c>
      <c r="F38" s="11">
        <v>25</v>
      </c>
      <c r="G38" s="69">
        <f t="shared" si="1"/>
        <v>2.82337791041324E-8</v>
      </c>
    </row>
  </sheetData>
  <dataConsolidate/>
  <dataValidations count="5">
    <dataValidation type="decimal" operator="greaterThan" allowBlank="1" showInputMessage="1" showErrorMessage="1" error="The mean service rate must be greater than zero." sqref="C5" xr:uid="{160E7BCB-669C-4A3D-B323-1D22163F83F7}">
      <formula1>0</formula1>
    </dataValidation>
    <dataValidation type="decimal" operator="greaterThan" allowBlank="1" showInputMessage="1" showErrorMessage="1" error="The mean arrival rate must be greater than zero." sqref="C4" xr:uid="{6160E562-7071-4D09-95D8-3A7486A192BA}">
      <formula1>0</formula1>
    </dataValidation>
    <dataValidation type="whole" allowBlank="1" showInputMessage="1" showErrorMessage="1" error="The number of servers must be an integer between 1 and 25 (inclusive)." sqref="C6" xr:uid="{48214D4A-F5F4-4789-9804-DBE1211C4CA7}">
      <formula1>1</formula1>
      <formula2>25</formula2>
    </dataValidation>
    <dataValidation type="decimal" operator="greaterThanOrEqual" allowBlank="1" showInputMessage="1" showErrorMessage="1" error="t must be greater than or equal to 0." sqref="C12" xr:uid="{79E9387A-C29F-4380-B6F4-DF72CB187E60}">
      <formula1>0</formula1>
    </dataValidation>
    <dataValidation type="decimal" operator="greaterThanOrEqual" allowBlank="1" showInputMessage="1" showErrorMessage="1" errorTitle="Warning" error="t must be greater than or equal to 0." sqref="C9" xr:uid="{8E1758CE-B9A2-43A9-B8BF-5906A4248F20}">
      <formula1>0</formula1>
    </dataValidation>
  </dataValidations>
  <pageMargins left="0.75" right="0.75" top="1" bottom="1" header="0.5" footer="0.5"/>
  <pageSetup paperSize="0" scale="91" orientation="landscape" horizontalDpi="4294967292" verticalDpi="4294967292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102</vt:i4>
      </vt:variant>
    </vt:vector>
  </HeadingPairs>
  <TitlesOfParts>
    <vt:vector size="111" baseType="lpstr">
      <vt:lpstr>M|M|1</vt:lpstr>
      <vt:lpstr>M|M|1 (Phixitt)</vt:lpstr>
      <vt:lpstr>M|G|1</vt:lpstr>
      <vt:lpstr>M|M|s</vt:lpstr>
      <vt:lpstr>M|M|s (CFO change2)</vt:lpstr>
      <vt:lpstr>M|M|s (CFO change3)</vt:lpstr>
      <vt:lpstr>Nonpreemptive Priorities</vt:lpstr>
      <vt:lpstr>Nonpreemptive Priorities (2)</vt:lpstr>
      <vt:lpstr>Economic Analysis</vt:lpstr>
      <vt:lpstr>CostOfService</vt:lpstr>
      <vt:lpstr>CostOfWaiting</vt:lpstr>
      <vt:lpstr>Cs</vt:lpstr>
      <vt:lpstr>Cw</vt:lpstr>
      <vt:lpstr>'Economic Analysis'!L</vt:lpstr>
      <vt:lpstr>'M|G|1'!L</vt:lpstr>
      <vt:lpstr>'M|M|1 (Phixitt)'!L</vt:lpstr>
      <vt:lpstr>'M|M|s'!L</vt:lpstr>
      <vt:lpstr>'M|M|s (CFO change2)'!L</vt:lpstr>
      <vt:lpstr>'M|M|s (CFO change3)'!L</vt:lpstr>
      <vt:lpstr>'Nonpreemptive Priorities'!L</vt:lpstr>
      <vt:lpstr>'Nonpreemptive Priorities (2)'!L</vt:lpstr>
      <vt:lpstr>L</vt:lpstr>
      <vt:lpstr>'Economic Analysis'!Lambda</vt:lpstr>
      <vt:lpstr>'M|G|1'!Lambda</vt:lpstr>
      <vt:lpstr>'M|M|1 (Phixitt)'!Lambda</vt:lpstr>
      <vt:lpstr>'M|M|s'!Lambda</vt:lpstr>
      <vt:lpstr>'M|M|s (CFO change2)'!Lambda</vt:lpstr>
      <vt:lpstr>'M|M|s (CFO change3)'!Lambda</vt:lpstr>
      <vt:lpstr>'Nonpreemptive Priorities'!Lambda</vt:lpstr>
      <vt:lpstr>'Nonpreemptive Priorities (2)'!Lambda</vt:lpstr>
      <vt:lpstr>Lambda</vt:lpstr>
      <vt:lpstr>'Nonpreemptive Priorities (2)'!Lambdai</vt:lpstr>
      <vt:lpstr>Lambdai</vt:lpstr>
      <vt:lpstr>'Economic Analysis'!Lq</vt:lpstr>
      <vt:lpstr>'M|G|1'!Lq</vt:lpstr>
      <vt:lpstr>'M|M|1 (Phixitt)'!Lq</vt:lpstr>
      <vt:lpstr>'M|M|s'!Lq</vt:lpstr>
      <vt:lpstr>'M|M|s (CFO change2)'!Lq</vt:lpstr>
      <vt:lpstr>'M|M|s (CFO change3)'!Lq</vt:lpstr>
      <vt:lpstr>'Nonpreemptive Priorities'!Lq</vt:lpstr>
      <vt:lpstr>'Nonpreemptive Priorities (2)'!Lq</vt:lpstr>
      <vt:lpstr>Lq</vt:lpstr>
      <vt:lpstr>'Economic Analysis'!Mu</vt:lpstr>
      <vt:lpstr>'M|M|1 (Phixitt)'!Mu</vt:lpstr>
      <vt:lpstr>'M|M|s'!Mu</vt:lpstr>
      <vt:lpstr>'M|M|s (CFO change2)'!Mu</vt:lpstr>
      <vt:lpstr>'M|M|s (CFO change3)'!Mu</vt:lpstr>
      <vt:lpstr>'Nonpreemptive Priorities'!Mu</vt:lpstr>
      <vt:lpstr>'Nonpreemptive Priorities (2)'!Mu</vt:lpstr>
      <vt:lpstr>Mu</vt:lpstr>
      <vt:lpstr>'Economic Analysis'!n</vt:lpstr>
      <vt:lpstr>'M|M|1 (Phixitt)'!n</vt:lpstr>
      <vt:lpstr>'M|M|s'!n</vt:lpstr>
      <vt:lpstr>'M|M|s (CFO change2)'!n</vt:lpstr>
      <vt:lpstr>'M|M|s (CFO change3)'!n</vt:lpstr>
      <vt:lpstr>'Nonpreemptive Priorities'!n</vt:lpstr>
      <vt:lpstr>'Nonpreemptive Priorities (2)'!n</vt:lpstr>
      <vt:lpstr>n</vt:lpstr>
      <vt:lpstr>OneOverMu</vt:lpstr>
      <vt:lpstr>'Economic Analysis'!P0</vt:lpstr>
      <vt:lpstr>'M|M|1 (Phixitt)'!P0</vt:lpstr>
      <vt:lpstr>'M|M|s'!P0</vt:lpstr>
      <vt:lpstr>'M|M|s (CFO change2)'!P0</vt:lpstr>
      <vt:lpstr>'M|M|s (CFO change3)'!P0</vt:lpstr>
      <vt:lpstr>P0</vt:lpstr>
      <vt:lpstr>'Economic Analysis'!Pn</vt:lpstr>
      <vt:lpstr>'M|M|1 (Phixitt)'!Pn</vt:lpstr>
      <vt:lpstr>'M|M|s'!Pn</vt:lpstr>
      <vt:lpstr>'M|M|s (CFO change2)'!Pn</vt:lpstr>
      <vt:lpstr>'M|M|s (CFO change3)'!Pn</vt:lpstr>
      <vt:lpstr>Pn</vt:lpstr>
      <vt:lpstr>'Economic Analysis'!Rho</vt:lpstr>
      <vt:lpstr>'M|G|1'!Rho</vt:lpstr>
      <vt:lpstr>'M|M|1 (Phixitt)'!Rho</vt:lpstr>
      <vt:lpstr>'M|M|s'!Rho</vt:lpstr>
      <vt:lpstr>'M|M|s (CFO change2)'!Rho</vt:lpstr>
      <vt:lpstr>'M|M|s (CFO change3)'!Rho</vt:lpstr>
      <vt:lpstr>'Nonpreemptive Priorities'!Rho</vt:lpstr>
      <vt:lpstr>'Nonpreemptive Priorities (2)'!Rho</vt:lpstr>
      <vt:lpstr>Rho</vt:lpstr>
      <vt:lpstr>'Economic Analysis'!s</vt:lpstr>
      <vt:lpstr>'M|G|1'!s</vt:lpstr>
      <vt:lpstr>'M|M|1 (Phixitt)'!s</vt:lpstr>
      <vt:lpstr>'M|M|s'!s</vt:lpstr>
      <vt:lpstr>'M|M|s (CFO change2)'!s</vt:lpstr>
      <vt:lpstr>'M|M|s (CFO change3)'!s</vt:lpstr>
      <vt:lpstr>'Nonpreemptive Priorities'!s</vt:lpstr>
      <vt:lpstr>'Nonpreemptive Priorities (2)'!s</vt:lpstr>
      <vt:lpstr>s</vt:lpstr>
      <vt:lpstr>Sigma</vt:lpstr>
      <vt:lpstr>Time1</vt:lpstr>
      <vt:lpstr>Time2</vt:lpstr>
      <vt:lpstr>TotalCost</vt:lpstr>
      <vt:lpstr>'Economic Analysis'!W</vt:lpstr>
      <vt:lpstr>'M|G|1'!W</vt:lpstr>
      <vt:lpstr>'M|M|1 (Phixitt)'!W</vt:lpstr>
      <vt:lpstr>'M|M|s'!W</vt:lpstr>
      <vt:lpstr>'M|M|s (CFO change2)'!W</vt:lpstr>
      <vt:lpstr>'M|M|s (CFO change3)'!W</vt:lpstr>
      <vt:lpstr>'Nonpreemptive Priorities'!W</vt:lpstr>
      <vt:lpstr>'Nonpreemptive Priorities (2)'!W</vt:lpstr>
      <vt:lpstr>W</vt:lpstr>
      <vt:lpstr>'Economic Analysis'!Wq</vt:lpstr>
      <vt:lpstr>'M|G|1'!Wq</vt:lpstr>
      <vt:lpstr>'M|M|1 (Phixitt)'!Wq</vt:lpstr>
      <vt:lpstr>'M|M|s'!Wq</vt:lpstr>
      <vt:lpstr>'M|M|s (CFO change2)'!Wq</vt:lpstr>
      <vt:lpstr>'M|M|s (CFO change3)'!Wq</vt:lpstr>
      <vt:lpstr>'Nonpreemptive Priorities'!Wq</vt:lpstr>
      <vt:lpstr>'Nonpreemptive Priorities (2)'!Wq</vt:lpstr>
      <vt:lpstr>Wq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Hillier</dc:creator>
  <cp:lastModifiedBy>David Ford Peyton</cp:lastModifiedBy>
  <cp:lastPrinted>2002-06-25T21:17:43Z</cp:lastPrinted>
  <dcterms:created xsi:type="dcterms:W3CDTF">1998-08-18T16:12:25Z</dcterms:created>
  <dcterms:modified xsi:type="dcterms:W3CDTF">2023-08-03T17:25:15Z</dcterms:modified>
</cp:coreProperties>
</file>